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tem\Downloads\"/>
    </mc:Choice>
  </mc:AlternateContent>
  <bookViews>
    <workbookView xWindow="0" yWindow="0" windowWidth="28800" windowHeight="12435"/>
  </bookViews>
  <sheets>
    <sheet name=" прайс на 2021г. ПД " sheetId="2" r:id="rId1"/>
  </sheets>
  <definedNames>
    <definedName name="_xlnm.Print_Area" localSheetId="0">' прайс на 2021г. ПД '!$A$1:$I$1495</definedName>
  </definedNames>
  <calcPr calcId="162913" fullPrecision="0"/>
</workbook>
</file>

<file path=xl/calcChain.xml><?xml version="1.0" encoding="utf-8"?>
<calcChain xmlns="http://schemas.openxmlformats.org/spreadsheetml/2006/main">
  <c r="D428" i="2" l="1"/>
  <c r="D855" i="2" l="1"/>
  <c r="E1072" i="2" l="1"/>
  <c r="F1072" i="2" s="1"/>
  <c r="D583" i="2"/>
  <c r="D1399" i="2" l="1"/>
  <c r="D1407" i="2"/>
  <c r="D1385" i="2"/>
  <c r="D1359" i="2"/>
  <c r="D779" i="2"/>
  <c r="D861" i="2" l="1"/>
  <c r="E248" i="2"/>
  <c r="D584" i="2" l="1"/>
  <c r="F1486" i="2" l="1"/>
  <c r="G1486" i="2" s="1"/>
  <c r="F1485" i="2"/>
  <c r="G1485" i="2" s="1"/>
  <c r="F1484" i="2"/>
  <c r="G1484" i="2" s="1"/>
  <c r="D1153" i="2" l="1"/>
  <c r="D1148" i="2"/>
  <c r="D1147" i="2"/>
  <c r="D1380" i="2" l="1"/>
  <c r="D1391" i="2"/>
  <c r="D480" i="2" l="1"/>
  <c r="E480" i="2" s="1"/>
  <c r="F480" i="2" s="1"/>
  <c r="D479" i="2"/>
  <c r="E479" i="2" l="1"/>
  <c r="F479" i="2" s="1"/>
  <c r="D547" i="2"/>
  <c r="D545" i="2"/>
  <c r="E547" i="2" l="1"/>
  <c r="F547" i="2" s="1"/>
  <c r="D544" i="2" l="1"/>
  <c r="E545" i="2"/>
  <c r="F545" i="2" s="1"/>
  <c r="E544" i="2" l="1"/>
  <c r="F544" i="2" s="1"/>
  <c r="D487" i="2" l="1"/>
  <c r="E487" i="2" s="1"/>
  <c r="F487" i="2" s="1"/>
  <c r="D486" i="2" l="1"/>
  <c r="E486" i="2" s="1"/>
  <c r="F486" i="2" s="1"/>
  <c r="D485" i="2"/>
  <c r="E485" i="2" s="1"/>
  <c r="F485" i="2" s="1"/>
  <c r="D484" i="2"/>
  <c r="E484" i="2" s="1"/>
  <c r="F484" i="2" s="1"/>
  <c r="D483" i="2"/>
  <c r="E483" i="2" s="1"/>
  <c r="F483" i="2" s="1"/>
  <c r="D416" i="2"/>
  <c r="E416" i="2" s="1"/>
  <c r="F416" i="2" s="1"/>
  <c r="D494" i="2"/>
  <c r="D507" i="2" l="1"/>
  <c r="D506" i="2"/>
  <c r="D505" i="2"/>
  <c r="D1386" i="2" l="1"/>
  <c r="D1390" i="2"/>
  <c r="D1357" i="2"/>
  <c r="D857" i="2"/>
  <c r="D850" i="2"/>
  <c r="D1111" i="2"/>
  <c r="D1108" i="2"/>
  <c r="D1408" i="2" l="1"/>
  <c r="D965" i="2"/>
  <c r="D504" i="2"/>
  <c r="D503" i="2"/>
  <c r="D502" i="2"/>
  <c r="D501" i="2"/>
  <c r="D500" i="2"/>
  <c r="D499" i="2"/>
  <c r="D498" i="2"/>
  <c r="D497" i="2"/>
  <c r="D496" i="2"/>
  <c r="D510" i="2"/>
  <c r="D561" i="2"/>
  <c r="D557" i="2"/>
  <c r="D822" i="2"/>
  <c r="D543" i="2" l="1"/>
  <c r="D1388" i="2" l="1"/>
  <c r="D1384" i="2"/>
  <c r="D542" i="2"/>
  <c r="D541" i="2"/>
  <c r="E541" i="2" s="1"/>
  <c r="D1012" i="2"/>
  <c r="E1012" i="2" s="1"/>
  <c r="E1097" i="2"/>
  <c r="F1097" i="2" s="1"/>
  <c r="D540" i="2"/>
  <c r="D539" i="2"/>
  <c r="E539" i="2" s="1"/>
  <c r="E208" i="2"/>
  <c r="F1012" i="2" l="1"/>
  <c r="E540" i="2"/>
  <c r="F540" i="2" s="1"/>
  <c r="E543" i="2"/>
  <c r="F543" i="2" s="1"/>
  <c r="E542" i="2"/>
  <c r="F542" i="2" s="1"/>
  <c r="F539" i="2"/>
  <c r="F541" i="2"/>
  <c r="E965" i="2" l="1"/>
  <c r="F965" i="2" s="1"/>
  <c r="E584" i="2"/>
  <c r="F584" i="2" s="1"/>
  <c r="E561" i="2"/>
  <c r="F246" i="2"/>
  <c r="G246" i="2" s="1"/>
  <c r="F248" i="2"/>
  <c r="F251" i="2"/>
  <c r="G251" i="2" s="1"/>
  <c r="F249" i="2"/>
  <c r="G249" i="2" s="1"/>
  <c r="F247" i="2"/>
  <c r="G247" i="2" s="1"/>
  <c r="F245" i="2"/>
  <c r="G245" i="2" s="1"/>
  <c r="E216" i="2"/>
  <c r="F216" i="2" s="1"/>
  <c r="E215" i="2"/>
  <c r="E214" i="2"/>
  <c r="E213" i="2"/>
  <c r="F213" i="2" s="1"/>
  <c r="E212" i="2"/>
  <c r="F212" i="2" s="1"/>
  <c r="E211" i="2"/>
  <c r="F211" i="2" s="1"/>
  <c r="E210" i="2"/>
  <c r="I210" i="2" s="1"/>
  <c r="E209" i="2"/>
  <c r="F209" i="2" s="1"/>
  <c r="F219" i="2"/>
  <c r="G219" i="2" s="1"/>
  <c r="E1480" i="2"/>
  <c r="F1480" i="2" s="1"/>
  <c r="E1479" i="2"/>
  <c r="IV1415" i="2"/>
  <c r="D1415" i="2"/>
  <c r="E1415" i="2" s="1"/>
  <c r="F1415" i="2" s="1"/>
  <c r="IV1414" i="2"/>
  <c r="D1414" i="2"/>
  <c r="E1414" i="2" s="1"/>
  <c r="F1414" i="2" s="1"/>
  <c r="E1412" i="2"/>
  <c r="F1412" i="2" s="1"/>
  <c r="D1411" i="2"/>
  <c r="E1411" i="2" s="1"/>
  <c r="IV1410" i="2"/>
  <c r="D1410" i="2"/>
  <c r="E1410" i="2" s="1"/>
  <c r="D1409" i="2"/>
  <c r="E1409" i="2" s="1"/>
  <c r="F1409" i="2" s="1"/>
  <c r="IV1406" i="2"/>
  <c r="D1406" i="2"/>
  <c r="IV1405" i="2"/>
  <c r="D1405" i="2"/>
  <c r="IV1404" i="2"/>
  <c r="D1404" i="2"/>
  <c r="IV1403" i="2"/>
  <c r="D1403" i="2"/>
  <c r="IV1401" i="2"/>
  <c r="D1401" i="2"/>
  <c r="IV1400" i="2"/>
  <c r="D1400" i="2"/>
  <c r="E1399" i="2"/>
  <c r="D1397" i="2"/>
  <c r="E1397" i="2" s="1"/>
  <c r="F1397" i="2" s="1"/>
  <c r="E1395" i="2"/>
  <c r="F1395" i="2" s="1"/>
  <c r="D1394" i="2"/>
  <c r="E1394" i="2" s="1"/>
  <c r="F1394" i="2" s="1"/>
  <c r="D1393" i="2"/>
  <c r="E1393" i="2" s="1"/>
  <c r="F1393" i="2" s="1"/>
  <c r="E1392" i="2"/>
  <c r="F1392" i="2" s="1"/>
  <c r="E1391" i="2"/>
  <c r="E1390" i="2"/>
  <c r="F1390" i="2" s="1"/>
  <c r="E1388" i="2"/>
  <c r="E1385" i="2"/>
  <c r="E1384" i="2"/>
  <c r="IV1382" i="2"/>
  <c r="D1382" i="2"/>
  <c r="E1382" i="2" s="1"/>
  <c r="IV1381" i="2"/>
  <c r="D1381" i="2"/>
  <c r="E1381" i="2" s="1"/>
  <c r="IV1380" i="2"/>
  <c r="E1380" i="2"/>
  <c r="IV1378" i="2"/>
  <c r="D1378" i="2"/>
  <c r="E1378" i="2" s="1"/>
  <c r="D1377" i="2"/>
  <c r="IV1376" i="2"/>
  <c r="D1376" i="2"/>
  <c r="E1376" i="2" s="1"/>
  <c r="D1375" i="2"/>
  <c r="D1374" i="2"/>
  <c r="E1374" i="2" s="1"/>
  <c r="D1373" i="2"/>
  <c r="E1373" i="2" s="1"/>
  <c r="F1373" i="2" s="1"/>
  <c r="D1372" i="2"/>
  <c r="D1370" i="2"/>
  <c r="D1369" i="2"/>
  <c r="E1369" i="2" s="1"/>
  <c r="E1365" i="2"/>
  <c r="F1365" i="2" s="1"/>
  <c r="D1364" i="2"/>
  <c r="D1363" i="2"/>
  <c r="D1362" i="2"/>
  <c r="E1362" i="2" s="1"/>
  <c r="F1362" i="2" s="1"/>
  <c r="D1361" i="2"/>
  <c r="E1361" i="2" s="1"/>
  <c r="IV1358" i="2"/>
  <c r="D1358" i="2"/>
  <c r="E1357" i="2"/>
  <c r="F1357" i="2" s="1"/>
  <c r="IV1356" i="2"/>
  <c r="D1356" i="2"/>
  <c r="E1356" i="2" s="1"/>
  <c r="F1356" i="2" s="1"/>
  <c r="IV1354" i="2"/>
  <c r="D1354" i="2"/>
  <c r="E1354" i="2" s="1"/>
  <c r="F1354" i="2" s="1"/>
  <c r="IV1353" i="2"/>
  <c r="D1353" i="2"/>
  <c r="E1353" i="2" s="1"/>
  <c r="F1353" i="2" s="1"/>
  <c r="D1352" i="2"/>
  <c r="E1352" i="2" s="1"/>
  <c r="F1352" i="2" s="1"/>
  <c r="D1350" i="2"/>
  <c r="IV1348" i="2"/>
  <c r="D1348" i="2"/>
  <c r="E1348" i="2" s="1"/>
  <c r="IV1347" i="2"/>
  <c r="D1347" i="2"/>
  <c r="IV1346" i="2"/>
  <c r="D1346" i="2"/>
  <c r="E1346" i="2" s="1"/>
  <c r="IV1345" i="2"/>
  <c r="D1345" i="2"/>
  <c r="IV1344" i="2"/>
  <c r="D1344" i="2"/>
  <c r="E1344" i="2" s="1"/>
  <c r="IV1343" i="2"/>
  <c r="D1343" i="2"/>
  <c r="IV1342" i="2"/>
  <c r="D1342" i="2"/>
  <c r="E1342" i="2" s="1"/>
  <c r="IV1340" i="2"/>
  <c r="D1340" i="2"/>
  <c r="IV1339" i="2"/>
  <c r="D1339" i="2"/>
  <c r="E1339" i="2" s="1"/>
  <c r="IV1338" i="2"/>
  <c r="D1338" i="2"/>
  <c r="IV1337" i="2"/>
  <c r="D1337" i="2"/>
  <c r="E1337" i="2" s="1"/>
  <c r="IV1336" i="2"/>
  <c r="D1336" i="2"/>
  <c r="IV1334" i="2"/>
  <c r="D1334" i="2"/>
  <c r="E1334" i="2" s="1"/>
  <c r="IV1333" i="2"/>
  <c r="D1333" i="2"/>
  <c r="IV1332" i="2"/>
  <c r="D1332" i="2"/>
  <c r="E1332" i="2" s="1"/>
  <c r="IV1331" i="2"/>
  <c r="D1331" i="2"/>
  <c r="IV1329" i="2"/>
  <c r="D1329" i="2"/>
  <c r="E1329" i="2" s="1"/>
  <c r="IV1328" i="2"/>
  <c r="D1328" i="2"/>
  <c r="IV1327" i="2"/>
  <c r="D1327" i="2"/>
  <c r="E1327" i="2" s="1"/>
  <c r="IV1326" i="2"/>
  <c r="D1326" i="2"/>
  <c r="IV1325" i="2"/>
  <c r="D1325" i="2"/>
  <c r="E1325" i="2" s="1"/>
  <c r="IV1324" i="2"/>
  <c r="D1324" i="2"/>
  <c r="IV1322" i="2"/>
  <c r="D1322" i="2"/>
  <c r="E1322" i="2" s="1"/>
  <c r="IV1321" i="2"/>
  <c r="D1321" i="2"/>
  <c r="IV1320" i="2"/>
  <c r="D1320" i="2"/>
  <c r="E1320" i="2" s="1"/>
  <c r="IV1318" i="2"/>
  <c r="D1318" i="2"/>
  <c r="IV1317" i="2"/>
  <c r="D1317" i="2"/>
  <c r="E1317" i="2" s="1"/>
  <c r="IV1316" i="2"/>
  <c r="D1316" i="2"/>
  <c r="IV1315" i="2"/>
  <c r="D1315" i="2"/>
  <c r="E1315" i="2" s="1"/>
  <c r="IV1314" i="2"/>
  <c r="D1314" i="2"/>
  <c r="IV1313" i="2"/>
  <c r="D1313" i="2"/>
  <c r="E1313" i="2" s="1"/>
  <c r="IV1312" i="2"/>
  <c r="D1312" i="2"/>
  <c r="IV1311" i="2"/>
  <c r="D1311" i="2"/>
  <c r="E1311" i="2" s="1"/>
  <c r="IV1308" i="2"/>
  <c r="D1308" i="2"/>
  <c r="IV1307" i="2"/>
  <c r="D1307" i="2"/>
  <c r="E1307" i="2" s="1"/>
  <c r="IV1306" i="2"/>
  <c r="D1306" i="2"/>
  <c r="IV1304" i="2"/>
  <c r="D1304" i="2"/>
  <c r="E1304" i="2" s="1"/>
  <c r="IV1303" i="2"/>
  <c r="D1303" i="2"/>
  <c r="IV1302" i="2"/>
  <c r="D1302" i="2"/>
  <c r="E1302" i="2" s="1"/>
  <c r="IV1301" i="2"/>
  <c r="D1301" i="2"/>
  <c r="IV1300" i="2"/>
  <c r="D1300" i="2"/>
  <c r="E1300" i="2" s="1"/>
  <c r="IV1299" i="2"/>
  <c r="D1299" i="2"/>
  <c r="IV1298" i="2"/>
  <c r="D1298" i="2"/>
  <c r="E1298" i="2" s="1"/>
  <c r="IV1297" i="2"/>
  <c r="D1297" i="2"/>
  <c r="IV1296" i="2"/>
  <c r="D1296" i="2"/>
  <c r="E1296" i="2" s="1"/>
  <c r="IV1295" i="2"/>
  <c r="D1295" i="2"/>
  <c r="IV1294" i="2"/>
  <c r="D1294" i="2"/>
  <c r="E1294" i="2" s="1"/>
  <c r="IV1291" i="2"/>
  <c r="D1291" i="2"/>
  <c r="IV1290" i="2"/>
  <c r="D1290" i="2"/>
  <c r="E1290" i="2" s="1"/>
  <c r="IV1289" i="2"/>
  <c r="D1289" i="2"/>
  <c r="IV1288" i="2"/>
  <c r="D1288" i="2"/>
  <c r="E1288" i="2" s="1"/>
  <c r="IV1287" i="2"/>
  <c r="D1287" i="2"/>
  <c r="IV1286" i="2"/>
  <c r="D1286" i="2"/>
  <c r="E1286" i="2" s="1"/>
  <c r="IV1285" i="2"/>
  <c r="D1285" i="2"/>
  <c r="IV1284" i="2"/>
  <c r="D1284" i="2"/>
  <c r="E1284" i="2" s="1"/>
  <c r="IV1283" i="2"/>
  <c r="D1283" i="2"/>
  <c r="IV1281" i="2"/>
  <c r="D1281" i="2"/>
  <c r="E1281" i="2" s="1"/>
  <c r="IV1280" i="2"/>
  <c r="D1280" i="2"/>
  <c r="IV1278" i="2"/>
  <c r="D1278" i="2"/>
  <c r="E1278" i="2" s="1"/>
  <c r="IV1277" i="2"/>
  <c r="D1277" i="2"/>
  <c r="IV1276" i="2"/>
  <c r="D1276" i="2"/>
  <c r="E1276" i="2" s="1"/>
  <c r="IV1275" i="2"/>
  <c r="D1275" i="2"/>
  <c r="IV1274" i="2"/>
  <c r="D1274" i="2"/>
  <c r="E1274" i="2" s="1"/>
  <c r="IV1273" i="2"/>
  <c r="D1273" i="2"/>
  <c r="IV1272" i="2"/>
  <c r="D1272" i="2"/>
  <c r="E1272" i="2" s="1"/>
  <c r="IV1271" i="2"/>
  <c r="D1271" i="2"/>
  <c r="IV1270" i="2"/>
  <c r="D1270" i="2"/>
  <c r="E1270" i="2" s="1"/>
  <c r="IV1269" i="2"/>
  <c r="D1269" i="2"/>
  <c r="IV1268" i="2"/>
  <c r="D1268" i="2"/>
  <c r="E1268" i="2" s="1"/>
  <c r="IV1267" i="2"/>
  <c r="D1267" i="2"/>
  <c r="IV1265" i="2"/>
  <c r="D1265" i="2"/>
  <c r="E1265" i="2" s="1"/>
  <c r="IV1264" i="2"/>
  <c r="D1264" i="2"/>
  <c r="IV1263" i="2"/>
  <c r="D1263" i="2"/>
  <c r="E1263" i="2" s="1"/>
  <c r="IV1262" i="2"/>
  <c r="D1262" i="2"/>
  <c r="IV1261" i="2"/>
  <c r="D1261" i="2"/>
  <c r="E1261" i="2" s="1"/>
  <c r="IV1260" i="2"/>
  <c r="D1260" i="2"/>
  <c r="IV1259" i="2"/>
  <c r="D1259" i="2"/>
  <c r="E1259" i="2" s="1"/>
  <c r="IV1258" i="2"/>
  <c r="D1258" i="2"/>
  <c r="IV1257" i="2"/>
  <c r="D1257" i="2"/>
  <c r="E1257" i="2" s="1"/>
  <c r="IV1256" i="2"/>
  <c r="D1256" i="2"/>
  <c r="IV1255" i="2"/>
  <c r="D1255" i="2"/>
  <c r="E1255" i="2" s="1"/>
  <c r="IV1254" i="2"/>
  <c r="D1254" i="2"/>
  <c r="IV1252" i="2"/>
  <c r="D1252" i="2"/>
  <c r="E1252" i="2" s="1"/>
  <c r="IV1251" i="2"/>
  <c r="D1251" i="2"/>
  <c r="IV1249" i="2"/>
  <c r="D1249" i="2"/>
  <c r="E1249" i="2" s="1"/>
  <c r="IV1248" i="2"/>
  <c r="D1248" i="2"/>
  <c r="IV1247" i="2"/>
  <c r="D1247" i="2"/>
  <c r="E1247" i="2" s="1"/>
  <c r="IV1246" i="2"/>
  <c r="D1246" i="2"/>
  <c r="IV1245" i="2"/>
  <c r="D1245" i="2"/>
  <c r="E1245" i="2" s="1"/>
  <c r="IV1244" i="2"/>
  <c r="D1244" i="2"/>
  <c r="IV1243" i="2"/>
  <c r="D1243" i="2"/>
  <c r="E1243" i="2" s="1"/>
  <c r="IV1242" i="2"/>
  <c r="D1242" i="2"/>
  <c r="IV1241" i="2"/>
  <c r="D1241" i="2"/>
  <c r="E1241" i="2" s="1"/>
  <c r="IV1240" i="2"/>
  <c r="D1240" i="2"/>
  <c r="IV1239" i="2"/>
  <c r="D1239" i="2"/>
  <c r="E1239" i="2" s="1"/>
  <c r="IV1238" i="2"/>
  <c r="D1238" i="2"/>
  <c r="IV1236" i="2"/>
  <c r="D1236" i="2"/>
  <c r="E1236" i="2" s="1"/>
  <c r="IV1235" i="2"/>
  <c r="D1235" i="2"/>
  <c r="IV1234" i="2"/>
  <c r="D1234" i="2"/>
  <c r="E1234" i="2" s="1"/>
  <c r="IV1233" i="2"/>
  <c r="D1233" i="2"/>
  <c r="IV1232" i="2"/>
  <c r="D1232" i="2"/>
  <c r="E1232" i="2" s="1"/>
  <c r="IV1231" i="2"/>
  <c r="D1231" i="2"/>
  <c r="IV1230" i="2"/>
  <c r="D1230" i="2"/>
  <c r="E1230" i="2" s="1"/>
  <c r="IV1229" i="2"/>
  <c r="D1229" i="2"/>
  <c r="IV1228" i="2"/>
  <c r="D1228" i="2"/>
  <c r="E1228" i="2" s="1"/>
  <c r="IV1227" i="2"/>
  <c r="D1227" i="2"/>
  <c r="IV1225" i="2"/>
  <c r="D1225" i="2"/>
  <c r="E1225" i="2" s="1"/>
  <c r="IV1224" i="2"/>
  <c r="D1224" i="2"/>
  <c r="IV1222" i="2"/>
  <c r="D1222" i="2"/>
  <c r="E1222" i="2" s="1"/>
  <c r="IV1221" i="2"/>
  <c r="D1221" i="2"/>
  <c r="IV1220" i="2"/>
  <c r="D1220" i="2"/>
  <c r="E1220" i="2" s="1"/>
  <c r="IV1207" i="2"/>
  <c r="D1207" i="2"/>
  <c r="IV1206" i="2"/>
  <c r="D1206" i="2"/>
  <c r="E1206" i="2" s="1"/>
  <c r="IV1205" i="2"/>
  <c r="D1205" i="2"/>
  <c r="IV1203" i="2"/>
  <c r="D1203" i="2"/>
  <c r="E1203" i="2" s="1"/>
  <c r="IV1202" i="2"/>
  <c r="D1202" i="2"/>
  <c r="IV1201" i="2"/>
  <c r="D1201" i="2"/>
  <c r="E1201" i="2" s="1"/>
  <c r="IV1199" i="2"/>
  <c r="D1199" i="2"/>
  <c r="IV1198" i="2"/>
  <c r="D1198" i="2"/>
  <c r="E1198" i="2" s="1"/>
  <c r="IV1196" i="2"/>
  <c r="D1196" i="2"/>
  <c r="IV1195" i="2"/>
  <c r="D1195" i="2"/>
  <c r="E1195" i="2" s="1"/>
  <c r="IV1193" i="2"/>
  <c r="D1193" i="2"/>
  <c r="IV1192" i="2"/>
  <c r="D1192" i="2"/>
  <c r="E1192" i="2" s="1"/>
  <c r="IV1191" i="2"/>
  <c r="D1191" i="2"/>
  <c r="IV1190" i="2"/>
  <c r="D1190" i="2"/>
  <c r="E1190" i="2" s="1"/>
  <c r="IV1189" i="2"/>
  <c r="D1189" i="2"/>
  <c r="IV1188" i="2"/>
  <c r="D1188" i="2"/>
  <c r="E1188" i="2" s="1"/>
  <c r="IV1187" i="2"/>
  <c r="D1187" i="2"/>
  <c r="IV1186" i="2"/>
  <c r="D1186" i="2"/>
  <c r="E1186" i="2" s="1"/>
  <c r="IV1185" i="2"/>
  <c r="D1185" i="2"/>
  <c r="IV1183" i="2"/>
  <c r="D1183" i="2"/>
  <c r="E1183" i="2" s="1"/>
  <c r="IV1182" i="2"/>
  <c r="D1182" i="2"/>
  <c r="IV1181" i="2"/>
  <c r="D1181" i="2"/>
  <c r="E1181" i="2" s="1"/>
  <c r="IV1179" i="2"/>
  <c r="D1179" i="2"/>
  <c r="IV1178" i="2"/>
  <c r="D1178" i="2"/>
  <c r="E1178" i="2" s="1"/>
  <c r="IV1177" i="2"/>
  <c r="D1177" i="2"/>
  <c r="IV1175" i="2"/>
  <c r="D1175" i="2"/>
  <c r="E1175" i="2" s="1"/>
  <c r="IV1174" i="2"/>
  <c r="D1174" i="2"/>
  <c r="IV1173" i="2"/>
  <c r="D1173" i="2"/>
  <c r="E1173" i="2" s="1"/>
  <c r="IV1171" i="2"/>
  <c r="D1171" i="2"/>
  <c r="IV1170" i="2"/>
  <c r="D1170" i="2"/>
  <c r="E1170" i="2" s="1"/>
  <c r="IV1169" i="2"/>
  <c r="D1169" i="2"/>
  <c r="IV1166" i="2"/>
  <c r="D1166" i="2"/>
  <c r="E1166" i="2" s="1"/>
  <c r="IV1165" i="2"/>
  <c r="D1165" i="2"/>
  <c r="IV1164" i="2"/>
  <c r="D1164" i="2"/>
  <c r="E1164" i="2" s="1"/>
  <c r="IV1163" i="2"/>
  <c r="D1163" i="2"/>
  <c r="IV1161" i="2"/>
  <c r="D1161" i="2"/>
  <c r="E1161" i="2" s="1"/>
  <c r="IV1160" i="2"/>
  <c r="D1160" i="2"/>
  <c r="IV1159" i="2"/>
  <c r="D1159" i="2"/>
  <c r="E1159" i="2" s="1"/>
  <c r="IV1158" i="2"/>
  <c r="D1158" i="2"/>
  <c r="IV1157" i="2"/>
  <c r="D1157" i="2"/>
  <c r="E1157" i="2" s="1"/>
  <c r="IV1153" i="2"/>
  <c r="IV1152" i="2"/>
  <c r="D1152" i="2"/>
  <c r="E1152" i="2" s="1"/>
  <c r="IV1151" i="2"/>
  <c r="D1151" i="2"/>
  <c r="IV1150" i="2"/>
  <c r="D1150" i="2"/>
  <c r="E1150" i="2" s="1"/>
  <c r="IV1148" i="2"/>
  <c r="IV1147" i="2"/>
  <c r="E1147" i="2"/>
  <c r="IV1146" i="2"/>
  <c r="E1141" i="2"/>
  <c r="F1141" i="2" s="1"/>
  <c r="E1140" i="2"/>
  <c r="F1140" i="2" s="1"/>
  <c r="E1138" i="2"/>
  <c r="F1138" i="2" s="1"/>
  <c r="E1137" i="2"/>
  <c r="F1137" i="2" s="1"/>
  <c r="E1136" i="2"/>
  <c r="F1136" i="2" s="1"/>
  <c r="E1135" i="2"/>
  <c r="F1135" i="2" s="1"/>
  <c r="E1134" i="2"/>
  <c r="F1134" i="2" s="1"/>
  <c r="E1133" i="2"/>
  <c r="F1133" i="2" s="1"/>
  <c r="E1131" i="2"/>
  <c r="F1131" i="2" s="1"/>
  <c r="E1130" i="2"/>
  <c r="F1130" i="2" s="1"/>
  <c r="E1129" i="2"/>
  <c r="F1129" i="2" s="1"/>
  <c r="D1128" i="2"/>
  <c r="E1128" i="2" s="1"/>
  <c r="D1127" i="2"/>
  <c r="E1127" i="2" s="1"/>
  <c r="F1127" i="2" s="1"/>
  <c r="D1126" i="2"/>
  <c r="D1125" i="2"/>
  <c r="D1124" i="2"/>
  <c r="E1124" i="2" s="1"/>
  <c r="D1123" i="2"/>
  <c r="E1123" i="2" s="1"/>
  <c r="F1123" i="2" s="1"/>
  <c r="E1121" i="2"/>
  <c r="F1121" i="2" s="1"/>
  <c r="E1120" i="2"/>
  <c r="F1120" i="2" s="1"/>
  <c r="E1119" i="2"/>
  <c r="F1119" i="2" s="1"/>
  <c r="E1118" i="2"/>
  <c r="F1118" i="2" s="1"/>
  <c r="E1117" i="2"/>
  <c r="F1117" i="2" s="1"/>
  <c r="E1116" i="2"/>
  <c r="F1116" i="2" s="1"/>
  <c r="E1115" i="2"/>
  <c r="F1115" i="2" s="1"/>
  <c r="E1114" i="2"/>
  <c r="F1114" i="2" s="1"/>
  <c r="E1113" i="2"/>
  <c r="F1113" i="2" s="1"/>
  <c r="E1111" i="2"/>
  <c r="F1111" i="2" s="1"/>
  <c r="E1110" i="2"/>
  <c r="F1110" i="2" s="1"/>
  <c r="E1109" i="2"/>
  <c r="F1109" i="2" s="1"/>
  <c r="E1108" i="2"/>
  <c r="E1107" i="2"/>
  <c r="F1107" i="2" s="1"/>
  <c r="E1106" i="2"/>
  <c r="F1106" i="2" s="1"/>
  <c r="E1105" i="2"/>
  <c r="E1104" i="2"/>
  <c r="F1104" i="2" s="1"/>
  <c r="E1103" i="2"/>
  <c r="F1103" i="2" s="1"/>
  <c r="E1102" i="2"/>
  <c r="F1102" i="2" s="1"/>
  <c r="E1101" i="2"/>
  <c r="F1101" i="2" s="1"/>
  <c r="E1100" i="2"/>
  <c r="F1100" i="2" s="1"/>
  <c r="E1099" i="2"/>
  <c r="F1099" i="2" s="1"/>
  <c r="E1098" i="2"/>
  <c r="F1098" i="2" s="1"/>
  <c r="E1096" i="2"/>
  <c r="F1096" i="2" s="1"/>
  <c r="E1095" i="2"/>
  <c r="F1095" i="2" s="1"/>
  <c r="E1094" i="2"/>
  <c r="F1094" i="2" s="1"/>
  <c r="E1093" i="2"/>
  <c r="F1093" i="2" s="1"/>
  <c r="E1092" i="2"/>
  <c r="F1092" i="2" s="1"/>
  <c r="E1091" i="2"/>
  <c r="F1091" i="2" s="1"/>
  <c r="E1090" i="2"/>
  <c r="F1090" i="2" s="1"/>
  <c r="E1088" i="2"/>
  <c r="F1088" i="2" s="1"/>
  <c r="E1087" i="2"/>
  <c r="F1087" i="2" s="1"/>
  <c r="E1086" i="2"/>
  <c r="F1086" i="2" s="1"/>
  <c r="E1085" i="2"/>
  <c r="F1085" i="2" s="1"/>
  <c r="E1084" i="2"/>
  <c r="F1084" i="2" s="1"/>
  <c r="E1083" i="2"/>
  <c r="F1083" i="2" s="1"/>
  <c r="E1082" i="2"/>
  <c r="F1082" i="2" s="1"/>
  <c r="IV1080" i="2"/>
  <c r="E1080" i="2"/>
  <c r="F1080" i="2" s="1"/>
  <c r="E1079" i="2"/>
  <c r="F1079" i="2" s="1"/>
  <c r="E1078" i="2"/>
  <c r="F1078" i="2" s="1"/>
  <c r="E1077" i="2"/>
  <c r="F1077" i="2" s="1"/>
  <c r="E1076" i="2"/>
  <c r="F1076" i="2" s="1"/>
  <c r="E1075" i="2"/>
  <c r="F1075" i="2" s="1"/>
  <c r="E1074" i="2"/>
  <c r="F1074" i="2" s="1"/>
  <c r="E1071" i="2"/>
  <c r="F1071" i="2" s="1"/>
  <c r="D1070" i="2"/>
  <c r="E1070" i="2" s="1"/>
  <c r="E1069" i="2"/>
  <c r="F1069" i="2" s="1"/>
  <c r="E1068" i="2"/>
  <c r="F1068" i="2" s="1"/>
  <c r="E1067" i="2"/>
  <c r="F1067" i="2" s="1"/>
  <c r="E1066" i="2"/>
  <c r="F1066" i="2" s="1"/>
  <c r="E1065" i="2"/>
  <c r="F1065" i="2" s="1"/>
  <c r="E1064" i="2"/>
  <c r="F1064" i="2" s="1"/>
  <c r="E1063" i="2"/>
  <c r="F1063" i="2" s="1"/>
  <c r="E1062" i="2"/>
  <c r="F1062" i="2" s="1"/>
  <c r="E1061" i="2"/>
  <c r="F1061" i="2" s="1"/>
  <c r="E1060" i="2"/>
  <c r="F1060" i="2" s="1"/>
  <c r="E1059" i="2"/>
  <c r="F1059" i="2" s="1"/>
  <c r="E1058" i="2"/>
  <c r="F1058" i="2" s="1"/>
  <c r="E1057" i="2"/>
  <c r="F1057" i="2" s="1"/>
  <c r="E1056" i="2"/>
  <c r="F1056" i="2" s="1"/>
  <c r="E1055" i="2"/>
  <c r="F1055" i="2" s="1"/>
  <c r="E1054" i="2"/>
  <c r="F1054" i="2" s="1"/>
  <c r="E1053" i="2"/>
  <c r="F1053" i="2" s="1"/>
  <c r="E1052" i="2"/>
  <c r="F1052" i="2" s="1"/>
  <c r="E1050" i="2"/>
  <c r="F1050" i="2" s="1"/>
  <c r="E1049" i="2"/>
  <c r="F1049" i="2" s="1"/>
  <c r="E1048" i="2"/>
  <c r="F1048" i="2" s="1"/>
  <c r="E1047" i="2"/>
  <c r="F1047" i="2" s="1"/>
  <c r="E1046" i="2"/>
  <c r="F1046" i="2" s="1"/>
  <c r="E1045" i="2"/>
  <c r="F1045" i="2" s="1"/>
  <c r="E1044" i="2"/>
  <c r="F1044" i="2" s="1"/>
  <c r="E1043" i="2"/>
  <c r="F1043" i="2" s="1"/>
  <c r="E1042" i="2"/>
  <c r="F1042" i="2" s="1"/>
  <c r="E1041" i="2"/>
  <c r="F1041" i="2" s="1"/>
  <c r="E1040" i="2"/>
  <c r="F1040" i="2" s="1"/>
  <c r="E1039" i="2"/>
  <c r="F1039" i="2" s="1"/>
  <c r="E1038" i="2"/>
  <c r="F1038" i="2" s="1"/>
  <c r="E1037" i="2"/>
  <c r="F1037" i="2" s="1"/>
  <c r="E1036" i="2"/>
  <c r="F1036" i="2" s="1"/>
  <c r="E1035" i="2"/>
  <c r="F1035" i="2" s="1"/>
  <c r="E1034" i="2"/>
  <c r="F1034" i="2" s="1"/>
  <c r="E1033" i="2"/>
  <c r="F1033" i="2" s="1"/>
  <c r="E1032" i="2"/>
  <c r="F1032" i="2" s="1"/>
  <c r="E1031" i="2"/>
  <c r="F1031" i="2" s="1"/>
  <c r="E1030" i="2"/>
  <c r="F1030" i="2" s="1"/>
  <c r="E1029" i="2"/>
  <c r="F1029" i="2" s="1"/>
  <c r="E1028" i="2"/>
  <c r="F1028" i="2" s="1"/>
  <c r="E1027" i="2"/>
  <c r="F1027" i="2" s="1"/>
  <c r="E1026" i="2"/>
  <c r="F1026" i="2" s="1"/>
  <c r="E1025" i="2"/>
  <c r="F1025" i="2" s="1"/>
  <c r="E1024" i="2"/>
  <c r="F1024" i="2" s="1"/>
  <c r="E1023" i="2"/>
  <c r="F1023" i="2" s="1"/>
  <c r="E1022" i="2"/>
  <c r="F1022" i="2" s="1"/>
  <c r="E1021" i="2"/>
  <c r="F1021" i="2" s="1"/>
  <c r="E1020" i="2"/>
  <c r="F1020" i="2" s="1"/>
  <c r="E1019" i="2"/>
  <c r="F1019" i="2" s="1"/>
  <c r="IV1011" i="2"/>
  <c r="E1011" i="2"/>
  <c r="F1011" i="2" s="1"/>
  <c r="IV1010" i="2"/>
  <c r="E1010" i="2"/>
  <c r="F1010" i="2" s="1"/>
  <c r="IV1009" i="2"/>
  <c r="E1009" i="2"/>
  <c r="F1009" i="2" s="1"/>
  <c r="IV1008" i="2"/>
  <c r="E1008" i="2"/>
  <c r="F1008" i="2" s="1"/>
  <c r="IV1007" i="2"/>
  <c r="E1007" i="2"/>
  <c r="F1007" i="2" s="1"/>
  <c r="IV1006" i="2"/>
  <c r="E1006" i="2"/>
  <c r="F1006" i="2" s="1"/>
  <c r="IV1005" i="2"/>
  <c r="E1005" i="2"/>
  <c r="F1005" i="2" s="1"/>
  <c r="IV1004" i="2"/>
  <c r="E1004" i="2"/>
  <c r="F1004" i="2" s="1"/>
  <c r="IV1003" i="2"/>
  <c r="D1003" i="2"/>
  <c r="E1003" i="2" s="1"/>
  <c r="IV1002" i="2"/>
  <c r="IT1002" i="2"/>
  <c r="D1002" i="2"/>
  <c r="E1002" i="2" s="1"/>
  <c r="IV1001" i="2"/>
  <c r="D1001" i="2"/>
  <c r="D1000" i="2"/>
  <c r="IV999" i="2"/>
  <c r="IU999" i="2"/>
  <c r="D999" i="2"/>
  <c r="IV998" i="2"/>
  <c r="IU998" i="2"/>
  <c r="D998" i="2"/>
  <c r="E998" i="2" s="1"/>
  <c r="F998" i="2" s="1"/>
  <c r="IV997" i="2"/>
  <c r="IU997" i="2"/>
  <c r="D997" i="2"/>
  <c r="E997" i="2" s="1"/>
  <c r="F997" i="2" s="1"/>
  <c r="IV996" i="2"/>
  <c r="IU996" i="2"/>
  <c r="D996" i="2"/>
  <c r="D995" i="2"/>
  <c r="E995" i="2" s="1"/>
  <c r="F995" i="2" s="1"/>
  <c r="D994" i="2"/>
  <c r="E994" i="2" s="1"/>
  <c r="D993" i="2"/>
  <c r="IV992" i="2"/>
  <c r="IU992" i="2"/>
  <c r="IT992" i="2"/>
  <c r="D992" i="2"/>
  <c r="E992" i="2" s="1"/>
  <c r="IV991" i="2"/>
  <c r="IU991" i="2"/>
  <c r="D991" i="2"/>
  <c r="IV990" i="2"/>
  <c r="IU990" i="2"/>
  <c r="IT990" i="2"/>
  <c r="D990" i="2"/>
  <c r="E990" i="2" s="1"/>
  <c r="IV989" i="2"/>
  <c r="IU989" i="2"/>
  <c r="D989" i="2"/>
  <c r="E989" i="2" s="1"/>
  <c r="F989" i="2" s="1"/>
  <c r="IV988" i="2"/>
  <c r="IU988" i="2"/>
  <c r="D988" i="2"/>
  <c r="E988" i="2" s="1"/>
  <c r="IV987" i="2"/>
  <c r="IU987" i="2"/>
  <c r="D987" i="2"/>
  <c r="E987" i="2" s="1"/>
  <c r="IV986" i="2"/>
  <c r="D986" i="2"/>
  <c r="IV985" i="2"/>
  <c r="D985" i="2"/>
  <c r="E985" i="2" s="1"/>
  <c r="IV984" i="2"/>
  <c r="IU984" i="2"/>
  <c r="D984" i="2"/>
  <c r="E984" i="2" s="1"/>
  <c r="IV983" i="2"/>
  <c r="IU983" i="2"/>
  <c r="D983" i="2"/>
  <c r="E983" i="2" s="1"/>
  <c r="F983" i="2" s="1"/>
  <c r="IV982" i="2"/>
  <c r="IU982" i="2"/>
  <c r="IT982" i="2"/>
  <c r="D982" i="2"/>
  <c r="IV981" i="2"/>
  <c r="IU981" i="2"/>
  <c r="IT981" i="2"/>
  <c r="D981" i="2"/>
  <c r="E981" i="2" s="1"/>
  <c r="F981" i="2" s="1"/>
  <c r="IV980" i="2"/>
  <c r="IU980" i="2"/>
  <c r="IT980" i="2"/>
  <c r="D980" i="2"/>
  <c r="E980" i="2" s="1"/>
  <c r="IV979" i="2"/>
  <c r="IU979" i="2"/>
  <c r="D979" i="2"/>
  <c r="E979" i="2" s="1"/>
  <c r="D978" i="2"/>
  <c r="D977" i="2"/>
  <c r="IV976" i="2"/>
  <c r="IU976" i="2"/>
  <c r="D976" i="2"/>
  <c r="IV975" i="2"/>
  <c r="IU975" i="2"/>
  <c r="IT975" i="2"/>
  <c r="D975" i="2"/>
  <c r="E975" i="2" s="1"/>
  <c r="IV974" i="2"/>
  <c r="IU974" i="2"/>
  <c r="D974" i="2"/>
  <c r="IV972" i="2"/>
  <c r="IU972" i="2"/>
  <c r="D972" i="2"/>
  <c r="IV971" i="2"/>
  <c r="IU971" i="2"/>
  <c r="D971" i="2"/>
  <c r="E971" i="2" s="1"/>
  <c r="IV970" i="2"/>
  <c r="IU970" i="2"/>
  <c r="IT970" i="2"/>
  <c r="D970" i="2"/>
  <c r="IV969" i="2"/>
  <c r="IU969" i="2"/>
  <c r="IT969" i="2"/>
  <c r="D969" i="2"/>
  <c r="E969" i="2" s="1"/>
  <c r="D968" i="2"/>
  <c r="IV966" i="2"/>
  <c r="IU966" i="2"/>
  <c r="IT966" i="2"/>
  <c r="D966" i="2"/>
  <c r="E966" i="2" s="1"/>
  <c r="IV964" i="2"/>
  <c r="IU964" i="2"/>
  <c r="D964" i="2"/>
  <c r="E964" i="2" s="1"/>
  <c r="IV963" i="2"/>
  <c r="IU963" i="2"/>
  <c r="IT963" i="2"/>
  <c r="D963" i="2"/>
  <c r="E963" i="2" s="1"/>
  <c r="D962" i="2"/>
  <c r="E962" i="2" s="1"/>
  <c r="D960" i="2"/>
  <c r="E960" i="2" s="1"/>
  <c r="F960" i="2" s="1"/>
  <c r="IV959" i="2"/>
  <c r="IU959" i="2"/>
  <c r="IT959" i="2"/>
  <c r="D959" i="2"/>
  <c r="E959" i="2" s="1"/>
  <c r="D958" i="2"/>
  <c r="E958" i="2" s="1"/>
  <c r="D956" i="2"/>
  <c r="E956" i="2" s="1"/>
  <c r="IV955" i="2"/>
  <c r="IU955" i="2"/>
  <c r="IT955" i="2"/>
  <c r="D955" i="2"/>
  <c r="E955" i="2" s="1"/>
  <c r="IV954" i="2"/>
  <c r="IU954" i="2"/>
  <c r="IT954" i="2"/>
  <c r="D954" i="2"/>
  <c r="E954" i="2" s="1"/>
  <c r="F954" i="2" s="1"/>
  <c r="IV953" i="2"/>
  <c r="IU953" i="2"/>
  <c r="IT953" i="2"/>
  <c r="D953" i="2"/>
  <c r="D952" i="2"/>
  <c r="IV950" i="2"/>
  <c r="IU950" i="2"/>
  <c r="IT950" i="2"/>
  <c r="D950" i="2"/>
  <c r="E950" i="2" s="1"/>
  <c r="D949" i="2"/>
  <c r="IV948" i="2"/>
  <c r="IU948" i="2"/>
  <c r="IT948" i="2"/>
  <c r="D948" i="2"/>
  <c r="E948" i="2" s="1"/>
  <c r="D946" i="2"/>
  <c r="E946" i="2" s="1"/>
  <c r="F946" i="2" s="1"/>
  <c r="D945" i="2"/>
  <c r="E945" i="2" s="1"/>
  <c r="D944" i="2"/>
  <c r="E944" i="2" s="1"/>
  <c r="D943" i="2"/>
  <c r="E943" i="2" s="1"/>
  <c r="IV942" i="2"/>
  <c r="IU942" i="2"/>
  <c r="D942" i="2"/>
  <c r="IV941" i="2"/>
  <c r="IU941" i="2"/>
  <c r="D941" i="2"/>
  <c r="IV940" i="2"/>
  <c r="IU940" i="2"/>
  <c r="D940" i="2"/>
  <c r="E940" i="2" s="1"/>
  <c r="F940" i="2" s="1"/>
  <c r="IV939" i="2"/>
  <c r="IU939" i="2"/>
  <c r="D939" i="2"/>
  <c r="E939" i="2" s="1"/>
  <c r="IV938" i="2"/>
  <c r="IU938" i="2"/>
  <c r="D938" i="2"/>
  <c r="IV937" i="2"/>
  <c r="IU937" i="2"/>
  <c r="IT937" i="2"/>
  <c r="D937" i="2"/>
  <c r="E937" i="2" s="1"/>
  <c r="D936" i="2"/>
  <c r="E936" i="2" s="1"/>
  <c r="IV935" i="2"/>
  <c r="IU935" i="2"/>
  <c r="D935" i="2"/>
  <c r="E935" i="2" s="1"/>
  <c r="D934" i="2"/>
  <c r="E934" i="2" s="1"/>
  <c r="IV933" i="2"/>
  <c r="IU933" i="2"/>
  <c r="D933" i="2"/>
  <c r="E933" i="2" s="1"/>
  <c r="D932" i="2"/>
  <c r="E932" i="2" s="1"/>
  <c r="D931" i="2"/>
  <c r="E931" i="2" s="1"/>
  <c r="IV930" i="2"/>
  <c r="IU930" i="2"/>
  <c r="IT930" i="2"/>
  <c r="D930" i="2"/>
  <c r="E930" i="2" s="1"/>
  <c r="IV929" i="2"/>
  <c r="IU929" i="2"/>
  <c r="D929" i="2"/>
  <c r="E929" i="2" s="1"/>
  <c r="F929" i="2" s="1"/>
  <c r="IV927" i="2"/>
  <c r="IU927" i="2"/>
  <c r="IT927" i="2"/>
  <c r="D927" i="2"/>
  <c r="E927" i="2" s="1"/>
  <c r="IV926" i="2"/>
  <c r="IU926" i="2"/>
  <c r="IT926" i="2"/>
  <c r="D926" i="2"/>
  <c r="E926" i="2" s="1"/>
  <c r="F926" i="2" s="1"/>
  <c r="D925" i="2"/>
  <c r="E925" i="2" s="1"/>
  <c r="D924" i="2"/>
  <c r="E924" i="2" s="1"/>
  <c r="IV923" i="2"/>
  <c r="IU923" i="2"/>
  <c r="IT923" i="2"/>
  <c r="D923" i="2"/>
  <c r="E923" i="2" s="1"/>
  <c r="F923" i="2" s="1"/>
  <c r="D922" i="2"/>
  <c r="E922" i="2" s="1"/>
  <c r="IV921" i="2"/>
  <c r="IU921" i="2"/>
  <c r="IT921" i="2"/>
  <c r="D921" i="2"/>
  <c r="E921" i="2" s="1"/>
  <c r="IV920" i="2"/>
  <c r="IU920" i="2"/>
  <c r="IT920" i="2"/>
  <c r="D920" i="2"/>
  <c r="E920" i="2" s="1"/>
  <c r="IV919" i="2"/>
  <c r="IU919" i="2"/>
  <c r="IT919" i="2"/>
  <c r="D919" i="2"/>
  <c r="E919" i="2" s="1"/>
  <c r="IV918" i="2"/>
  <c r="IU918" i="2"/>
  <c r="IT918" i="2"/>
  <c r="D918" i="2"/>
  <c r="E918" i="2" s="1"/>
  <c r="IV916" i="2"/>
  <c r="IU916" i="2"/>
  <c r="D916" i="2"/>
  <c r="E916" i="2" s="1"/>
  <c r="F916" i="2" s="1"/>
  <c r="D915" i="2"/>
  <c r="E915" i="2" s="1"/>
  <c r="IV914" i="2"/>
  <c r="IT914" i="2"/>
  <c r="D914" i="2"/>
  <c r="E914" i="2" s="1"/>
  <c r="F914" i="2" s="1"/>
  <c r="IV912" i="2"/>
  <c r="IU912" i="2"/>
  <c r="D912" i="2"/>
  <c r="E912" i="2" s="1"/>
  <c r="IV911" i="2"/>
  <c r="IU911" i="2"/>
  <c r="D911" i="2"/>
  <c r="E911" i="2" s="1"/>
  <c r="IV910" i="2"/>
  <c r="IU910" i="2"/>
  <c r="D910" i="2"/>
  <c r="E910" i="2" s="1"/>
  <c r="D908" i="2"/>
  <c r="E908" i="2" s="1"/>
  <c r="D907" i="2"/>
  <c r="E907" i="2" s="1"/>
  <c r="IV906" i="2"/>
  <c r="IU906" i="2"/>
  <c r="D906" i="2"/>
  <c r="IV905" i="2"/>
  <c r="IU905" i="2"/>
  <c r="D905" i="2"/>
  <c r="E905" i="2" s="1"/>
  <c r="IV904" i="2"/>
  <c r="IU904" i="2"/>
  <c r="D904" i="2"/>
  <c r="E904" i="2" s="1"/>
  <c r="F904" i="2" s="1"/>
  <c r="D902" i="2"/>
  <c r="E902" i="2" s="1"/>
  <c r="IV901" i="2"/>
  <c r="IU901" i="2"/>
  <c r="D901" i="2"/>
  <c r="E901" i="2" s="1"/>
  <c r="F901" i="2" s="1"/>
  <c r="IV900" i="2"/>
  <c r="IU900" i="2"/>
  <c r="IT900" i="2"/>
  <c r="D900" i="2"/>
  <c r="E900" i="2" s="1"/>
  <c r="D899" i="2"/>
  <c r="E899" i="2" s="1"/>
  <c r="IV898" i="2"/>
  <c r="IU898" i="2"/>
  <c r="D898" i="2"/>
  <c r="E898" i="2" s="1"/>
  <c r="IV897" i="2"/>
  <c r="IU897" i="2"/>
  <c r="IT897" i="2"/>
  <c r="D897" i="2"/>
  <c r="E897" i="2" s="1"/>
  <c r="F897" i="2" s="1"/>
  <c r="D896" i="2"/>
  <c r="E896" i="2" s="1"/>
  <c r="IV894" i="2"/>
  <c r="IU894" i="2"/>
  <c r="D894" i="2"/>
  <c r="E894" i="2" s="1"/>
  <c r="F894" i="2" s="1"/>
  <c r="IV893" i="2"/>
  <c r="IU893" i="2"/>
  <c r="D893" i="2"/>
  <c r="E893" i="2" s="1"/>
  <c r="IV891" i="2"/>
  <c r="IU891" i="2"/>
  <c r="D891" i="2"/>
  <c r="IV890" i="2"/>
  <c r="IU890" i="2"/>
  <c r="D890" i="2"/>
  <c r="E890" i="2" s="1"/>
  <c r="IV889" i="2"/>
  <c r="IU889" i="2"/>
  <c r="D889" i="2"/>
  <c r="E889" i="2" s="1"/>
  <c r="F889" i="2" s="1"/>
  <c r="IV887" i="2"/>
  <c r="IU887" i="2"/>
  <c r="D887" i="2"/>
  <c r="E887" i="2" s="1"/>
  <c r="IV886" i="2"/>
  <c r="IU886" i="2"/>
  <c r="D886" i="2"/>
  <c r="E886" i="2" s="1"/>
  <c r="IV885" i="2"/>
  <c r="IU885" i="2"/>
  <c r="D885" i="2"/>
  <c r="E885" i="2" s="1"/>
  <c r="IV884" i="2"/>
  <c r="IU884" i="2"/>
  <c r="D884" i="2"/>
  <c r="E884" i="2" s="1"/>
  <c r="F884" i="2" s="1"/>
  <c r="IV882" i="2"/>
  <c r="IU882" i="2"/>
  <c r="D882" i="2"/>
  <c r="E882" i="2" s="1"/>
  <c r="E861" i="2"/>
  <c r="F861" i="2" s="1"/>
  <c r="D860" i="2"/>
  <c r="E860" i="2" s="1"/>
  <c r="D859" i="2"/>
  <c r="E859" i="2" s="1"/>
  <c r="D858" i="2"/>
  <c r="E858" i="2" s="1"/>
  <c r="E857" i="2"/>
  <c r="F857" i="2" s="1"/>
  <c r="D856" i="2"/>
  <c r="E856" i="2" s="1"/>
  <c r="E855" i="2"/>
  <c r="D854" i="2"/>
  <c r="E854" i="2" s="1"/>
  <c r="D852" i="2"/>
  <c r="E852" i="2" s="1"/>
  <c r="F852" i="2" s="1"/>
  <c r="E850" i="2"/>
  <c r="D848" i="2"/>
  <c r="E848" i="2" s="1"/>
  <c r="D846" i="2"/>
  <c r="E846" i="2" s="1"/>
  <c r="D844" i="2"/>
  <c r="E844" i="2" s="1"/>
  <c r="D843" i="2"/>
  <c r="E843" i="2" s="1"/>
  <c r="D841" i="2"/>
  <c r="E841" i="2" s="1"/>
  <c r="D840" i="2"/>
  <c r="E840" i="2" s="1"/>
  <c r="D838" i="2"/>
  <c r="E838" i="2" s="1"/>
  <c r="D836" i="2"/>
  <c r="E836" i="2" s="1"/>
  <c r="D835" i="2"/>
  <c r="E835" i="2" s="1"/>
  <c r="D833" i="2"/>
  <c r="E833" i="2" s="1"/>
  <c r="D831" i="2"/>
  <c r="E831" i="2" s="1"/>
  <c r="D830" i="2"/>
  <c r="E830" i="2" s="1"/>
  <c r="D828" i="2"/>
  <c r="E828" i="2" s="1"/>
  <c r="D827" i="2"/>
  <c r="E827" i="2" s="1"/>
  <c r="D825" i="2"/>
  <c r="E825" i="2" s="1"/>
  <c r="D824" i="2"/>
  <c r="E824" i="2" s="1"/>
  <c r="E822" i="2"/>
  <c r="D818" i="2"/>
  <c r="E818" i="2" s="1"/>
  <c r="D817" i="2"/>
  <c r="E817" i="2" s="1"/>
  <c r="D816" i="2"/>
  <c r="E816" i="2" s="1"/>
  <c r="D814" i="2"/>
  <c r="E814" i="2" s="1"/>
  <c r="D813" i="2"/>
  <c r="E813" i="2" s="1"/>
  <c r="D812" i="2"/>
  <c r="E812" i="2" s="1"/>
  <c r="D810" i="2"/>
  <c r="E810" i="2" s="1"/>
  <c r="D809" i="2"/>
  <c r="E809" i="2" s="1"/>
  <c r="D808" i="2"/>
  <c r="E808" i="2" s="1"/>
  <c r="D806" i="2"/>
  <c r="E806" i="2" s="1"/>
  <c r="D805" i="2"/>
  <c r="E805" i="2" s="1"/>
  <c r="D804" i="2"/>
  <c r="E804" i="2" s="1"/>
  <c r="D803" i="2"/>
  <c r="E803" i="2" s="1"/>
  <c r="D802" i="2"/>
  <c r="E802" i="2" s="1"/>
  <c r="D801" i="2"/>
  <c r="E801" i="2" s="1"/>
  <c r="D800" i="2"/>
  <c r="E800" i="2" s="1"/>
  <c r="D799" i="2"/>
  <c r="E799" i="2" s="1"/>
  <c r="D798" i="2"/>
  <c r="E798" i="2" s="1"/>
  <c r="D796" i="2"/>
  <c r="E796" i="2" s="1"/>
  <c r="D795" i="2"/>
  <c r="E795" i="2" s="1"/>
  <c r="D794" i="2"/>
  <c r="E794" i="2" s="1"/>
  <c r="D793" i="2"/>
  <c r="E793" i="2" s="1"/>
  <c r="D792" i="2"/>
  <c r="E792" i="2" s="1"/>
  <c r="D791" i="2"/>
  <c r="E791" i="2" s="1"/>
  <c r="D790" i="2"/>
  <c r="E790" i="2" s="1"/>
  <c r="D789" i="2"/>
  <c r="E789" i="2" s="1"/>
  <c r="D788" i="2"/>
  <c r="E788" i="2" s="1"/>
  <c r="D787" i="2"/>
  <c r="E787" i="2" s="1"/>
  <c r="D786" i="2"/>
  <c r="E786" i="2" s="1"/>
  <c r="D785" i="2"/>
  <c r="E785" i="2" s="1"/>
  <c r="D783" i="2"/>
  <c r="E783" i="2" s="1"/>
  <c r="D782" i="2"/>
  <c r="E782" i="2" s="1"/>
  <c r="D781" i="2"/>
  <c r="E781" i="2" s="1"/>
  <c r="D780" i="2"/>
  <c r="E780" i="2" s="1"/>
  <c r="E779" i="2"/>
  <c r="D778" i="2"/>
  <c r="E778" i="2" s="1"/>
  <c r="D777" i="2"/>
  <c r="E777" i="2" s="1"/>
  <c r="D776" i="2"/>
  <c r="E776" i="2" s="1"/>
  <c r="D775" i="2"/>
  <c r="E775" i="2" s="1"/>
  <c r="D774" i="2"/>
  <c r="E774" i="2" s="1"/>
  <c r="D773" i="2"/>
  <c r="E773" i="2" s="1"/>
  <c r="D772" i="2"/>
  <c r="E772" i="2" s="1"/>
  <c r="D771" i="2"/>
  <c r="E771" i="2" s="1"/>
  <c r="D770" i="2"/>
  <c r="E770" i="2" s="1"/>
  <c r="D769" i="2"/>
  <c r="E769" i="2" s="1"/>
  <c r="D768" i="2"/>
  <c r="E768" i="2" s="1"/>
  <c r="D767" i="2"/>
  <c r="E767" i="2" s="1"/>
  <c r="D766" i="2"/>
  <c r="E766" i="2" s="1"/>
  <c r="D765" i="2"/>
  <c r="E765" i="2" s="1"/>
  <c r="D764" i="2"/>
  <c r="E764" i="2" s="1"/>
  <c r="D763" i="2"/>
  <c r="E763" i="2" s="1"/>
  <c r="D762" i="2"/>
  <c r="E762" i="2" s="1"/>
  <c r="D761" i="2"/>
  <c r="E761" i="2" s="1"/>
  <c r="D760" i="2"/>
  <c r="E760" i="2" s="1"/>
  <c r="D759" i="2"/>
  <c r="E759" i="2" s="1"/>
  <c r="D758" i="2"/>
  <c r="E758" i="2" s="1"/>
  <c r="D757" i="2"/>
  <c r="E757" i="2" s="1"/>
  <c r="D756" i="2"/>
  <c r="E756" i="2" s="1"/>
  <c r="D755" i="2"/>
  <c r="E755" i="2" s="1"/>
  <c r="D754" i="2"/>
  <c r="E754" i="2" s="1"/>
  <c r="D753" i="2"/>
  <c r="E753" i="2" s="1"/>
  <c r="D752" i="2"/>
  <c r="E752" i="2" s="1"/>
  <c r="D750" i="2"/>
  <c r="E750" i="2" s="1"/>
  <c r="D749" i="2"/>
  <c r="E749" i="2" s="1"/>
  <c r="D748" i="2"/>
  <c r="E748" i="2" s="1"/>
  <c r="D747" i="2"/>
  <c r="E747" i="2" s="1"/>
  <c r="D745" i="2"/>
  <c r="E745" i="2" s="1"/>
  <c r="D744" i="2"/>
  <c r="E744" i="2" s="1"/>
  <c r="D743" i="2"/>
  <c r="E743" i="2" s="1"/>
  <c r="D742" i="2"/>
  <c r="E742" i="2" s="1"/>
  <c r="D741" i="2"/>
  <c r="E741" i="2" s="1"/>
  <c r="D740" i="2"/>
  <c r="E740" i="2" s="1"/>
  <c r="D738" i="2"/>
  <c r="E738" i="2" s="1"/>
  <c r="D737" i="2"/>
  <c r="E737" i="2" s="1"/>
  <c r="D736" i="2"/>
  <c r="E736" i="2" s="1"/>
  <c r="D735" i="2"/>
  <c r="E735" i="2" s="1"/>
  <c r="D734" i="2"/>
  <c r="E734" i="2" s="1"/>
  <c r="D732" i="2"/>
  <c r="E732" i="2" s="1"/>
  <c r="D731" i="2"/>
  <c r="E731" i="2" s="1"/>
  <c r="D730" i="2"/>
  <c r="E730" i="2" s="1"/>
  <c r="D729" i="2"/>
  <c r="E729" i="2" s="1"/>
  <c r="D728" i="2"/>
  <c r="E728" i="2" s="1"/>
  <c r="D727" i="2"/>
  <c r="E727" i="2" s="1"/>
  <c r="D726" i="2"/>
  <c r="E726" i="2" s="1"/>
  <c r="F726" i="2" s="1"/>
  <c r="D725" i="2"/>
  <c r="E725" i="2" s="1"/>
  <c r="D724" i="2"/>
  <c r="E724" i="2" s="1"/>
  <c r="D723" i="2"/>
  <c r="E723" i="2" s="1"/>
  <c r="D722" i="2"/>
  <c r="E722" i="2" s="1"/>
  <c r="F722" i="2" s="1"/>
  <c r="D721" i="2"/>
  <c r="E721" i="2" s="1"/>
  <c r="D720" i="2"/>
  <c r="E720" i="2" s="1"/>
  <c r="D719" i="2"/>
  <c r="E719" i="2" s="1"/>
  <c r="D718" i="2"/>
  <c r="E718" i="2" s="1"/>
  <c r="F718" i="2" s="1"/>
  <c r="D717" i="2"/>
  <c r="E717" i="2" s="1"/>
  <c r="D716" i="2"/>
  <c r="E716" i="2" s="1"/>
  <c r="D715" i="2"/>
  <c r="E715" i="2" s="1"/>
  <c r="D714" i="2"/>
  <c r="E714" i="2" s="1"/>
  <c r="F714" i="2" s="1"/>
  <c r="D713" i="2"/>
  <c r="E713" i="2" s="1"/>
  <c r="D712" i="2"/>
  <c r="E712" i="2" s="1"/>
  <c r="D711" i="2"/>
  <c r="E711" i="2" s="1"/>
  <c r="D710" i="2"/>
  <c r="E710" i="2" s="1"/>
  <c r="F710" i="2" s="1"/>
  <c r="D709" i="2"/>
  <c r="E709" i="2" s="1"/>
  <c r="D708" i="2"/>
  <c r="E708" i="2" s="1"/>
  <c r="D707" i="2"/>
  <c r="E707" i="2" s="1"/>
  <c r="D706" i="2"/>
  <c r="E706" i="2" s="1"/>
  <c r="F706" i="2" s="1"/>
  <c r="D705" i="2"/>
  <c r="E705" i="2" s="1"/>
  <c r="D703" i="2"/>
  <c r="E703" i="2" s="1"/>
  <c r="D702" i="2"/>
  <c r="E702" i="2" s="1"/>
  <c r="D701" i="2"/>
  <c r="E701" i="2" s="1"/>
  <c r="F701" i="2" s="1"/>
  <c r="D700" i="2"/>
  <c r="E700" i="2" s="1"/>
  <c r="D699" i="2"/>
  <c r="E699" i="2" s="1"/>
  <c r="D698" i="2"/>
  <c r="E698" i="2" s="1"/>
  <c r="D697" i="2"/>
  <c r="E697" i="2" s="1"/>
  <c r="F697" i="2" s="1"/>
  <c r="D696" i="2"/>
  <c r="E696" i="2" s="1"/>
  <c r="D695" i="2"/>
  <c r="E695" i="2" s="1"/>
  <c r="D694" i="2"/>
  <c r="E694" i="2" s="1"/>
  <c r="D693" i="2"/>
  <c r="E693" i="2" s="1"/>
  <c r="F693" i="2" s="1"/>
  <c r="D692" i="2"/>
  <c r="E692" i="2" s="1"/>
  <c r="D691" i="2"/>
  <c r="E691" i="2" s="1"/>
  <c r="D689" i="2"/>
  <c r="E689" i="2" s="1"/>
  <c r="D688" i="2"/>
  <c r="E688" i="2" s="1"/>
  <c r="F688" i="2" s="1"/>
  <c r="D687" i="2"/>
  <c r="E687" i="2" s="1"/>
  <c r="D686" i="2"/>
  <c r="E686" i="2" s="1"/>
  <c r="D685" i="2"/>
  <c r="E685" i="2" s="1"/>
  <c r="D684" i="2"/>
  <c r="E684" i="2" s="1"/>
  <c r="F684" i="2" s="1"/>
  <c r="D683" i="2"/>
  <c r="E683" i="2" s="1"/>
  <c r="D682" i="2"/>
  <c r="E682" i="2" s="1"/>
  <c r="D681" i="2"/>
  <c r="E681" i="2" s="1"/>
  <c r="D680" i="2"/>
  <c r="E680" i="2" s="1"/>
  <c r="F680" i="2" s="1"/>
  <c r="D679" i="2"/>
  <c r="E679" i="2" s="1"/>
  <c r="D678" i="2"/>
  <c r="E678" i="2" s="1"/>
  <c r="D677" i="2"/>
  <c r="E677" i="2" s="1"/>
  <c r="D676" i="2"/>
  <c r="E676" i="2" s="1"/>
  <c r="F676" i="2" s="1"/>
  <c r="D674" i="2"/>
  <c r="E674" i="2" s="1"/>
  <c r="D673" i="2"/>
  <c r="E673" i="2" s="1"/>
  <c r="D672" i="2"/>
  <c r="E672" i="2" s="1"/>
  <c r="D671" i="2"/>
  <c r="E671" i="2" s="1"/>
  <c r="F671" i="2" s="1"/>
  <c r="D670" i="2"/>
  <c r="E670" i="2" s="1"/>
  <c r="D669" i="2"/>
  <c r="E669" i="2" s="1"/>
  <c r="D668" i="2"/>
  <c r="E668" i="2" s="1"/>
  <c r="D667" i="2"/>
  <c r="E667" i="2" s="1"/>
  <c r="F667" i="2" s="1"/>
  <c r="D666" i="2"/>
  <c r="E666" i="2" s="1"/>
  <c r="D664" i="2"/>
  <c r="E664" i="2" s="1"/>
  <c r="D663" i="2"/>
  <c r="E663" i="2" s="1"/>
  <c r="D661" i="2"/>
  <c r="E661" i="2" s="1"/>
  <c r="F661" i="2" s="1"/>
  <c r="D659" i="2"/>
  <c r="E659" i="2" s="1"/>
  <c r="D658" i="2"/>
  <c r="E658" i="2" s="1"/>
  <c r="D657" i="2"/>
  <c r="E657" i="2" s="1"/>
  <c r="D656" i="2"/>
  <c r="E656" i="2" s="1"/>
  <c r="F656" i="2" s="1"/>
  <c r="D655" i="2"/>
  <c r="E655" i="2" s="1"/>
  <c r="D654" i="2"/>
  <c r="E654" i="2" s="1"/>
  <c r="D653" i="2"/>
  <c r="E653" i="2" s="1"/>
  <c r="D652" i="2"/>
  <c r="E652" i="2" s="1"/>
  <c r="F652" i="2" s="1"/>
  <c r="D651" i="2"/>
  <c r="E651" i="2" s="1"/>
  <c r="D650" i="2"/>
  <c r="E650" i="2" s="1"/>
  <c r="D649" i="2"/>
  <c r="E649" i="2" s="1"/>
  <c r="D648" i="2"/>
  <c r="E648" i="2" s="1"/>
  <c r="F648" i="2" s="1"/>
  <c r="D646" i="2"/>
  <c r="E646" i="2" s="1"/>
  <c r="D644" i="2"/>
  <c r="E644" i="2" s="1"/>
  <c r="D643" i="2"/>
  <c r="E643" i="2" s="1"/>
  <c r="D642" i="2"/>
  <c r="E642" i="2" s="1"/>
  <c r="F642" i="2" s="1"/>
  <c r="D641" i="2"/>
  <c r="E641" i="2" s="1"/>
  <c r="D640" i="2"/>
  <c r="E640" i="2" s="1"/>
  <c r="D639" i="2"/>
  <c r="E639" i="2" s="1"/>
  <c r="D638" i="2"/>
  <c r="E638" i="2" s="1"/>
  <c r="F638" i="2" s="1"/>
  <c r="D637" i="2"/>
  <c r="E637" i="2" s="1"/>
  <c r="D636" i="2"/>
  <c r="E636" i="2" s="1"/>
  <c r="D635" i="2"/>
  <c r="E635" i="2" s="1"/>
  <c r="D634" i="2"/>
  <c r="E634" i="2" s="1"/>
  <c r="F634" i="2" s="1"/>
  <c r="D633" i="2"/>
  <c r="E633" i="2" s="1"/>
  <c r="D632" i="2"/>
  <c r="E632" i="2" s="1"/>
  <c r="D631" i="2"/>
  <c r="E631" i="2" s="1"/>
  <c r="D630" i="2"/>
  <c r="E630" i="2" s="1"/>
  <c r="F630" i="2" s="1"/>
  <c r="D628" i="2"/>
  <c r="E628" i="2" s="1"/>
  <c r="D626" i="2"/>
  <c r="E626" i="2" s="1"/>
  <c r="D625" i="2"/>
  <c r="E625" i="2" s="1"/>
  <c r="D624" i="2"/>
  <c r="E624" i="2" s="1"/>
  <c r="F624" i="2" s="1"/>
  <c r="D623" i="2"/>
  <c r="E623" i="2" s="1"/>
  <c r="D622" i="2"/>
  <c r="E622" i="2" s="1"/>
  <c r="D621" i="2"/>
  <c r="E621" i="2" s="1"/>
  <c r="D619" i="2"/>
  <c r="E619" i="2" s="1"/>
  <c r="F619" i="2" s="1"/>
  <c r="D617" i="2"/>
  <c r="E617" i="2" s="1"/>
  <c r="D616" i="2"/>
  <c r="E616" i="2" s="1"/>
  <c r="D615" i="2"/>
  <c r="E615" i="2" s="1"/>
  <c r="D614" i="2"/>
  <c r="E614" i="2" s="1"/>
  <c r="F614" i="2" s="1"/>
  <c r="D612" i="2"/>
  <c r="E612" i="2" s="1"/>
  <c r="D611" i="2"/>
  <c r="E611" i="2" s="1"/>
  <c r="D610" i="2"/>
  <c r="E610" i="2" s="1"/>
  <c r="D609" i="2"/>
  <c r="E609" i="2" s="1"/>
  <c r="F609" i="2" s="1"/>
  <c r="D607" i="2"/>
  <c r="E607" i="2" s="1"/>
  <c r="D606" i="2"/>
  <c r="E606" i="2" s="1"/>
  <c r="D605" i="2"/>
  <c r="E605" i="2" s="1"/>
  <c r="D604" i="2"/>
  <c r="E604" i="2" s="1"/>
  <c r="F604" i="2" s="1"/>
  <c r="D603" i="2"/>
  <c r="E603" i="2" s="1"/>
  <c r="D602" i="2"/>
  <c r="E602" i="2" s="1"/>
  <c r="D601" i="2"/>
  <c r="E601" i="2" s="1"/>
  <c r="D600" i="2"/>
  <c r="E600" i="2" s="1"/>
  <c r="F600" i="2" s="1"/>
  <c r="D599" i="2"/>
  <c r="E599" i="2" s="1"/>
  <c r="D598" i="2"/>
  <c r="E598" i="2" s="1"/>
  <c r="D597" i="2"/>
  <c r="E597" i="2" s="1"/>
  <c r="D596" i="2"/>
  <c r="E596" i="2" s="1"/>
  <c r="F596" i="2" s="1"/>
  <c r="D595" i="2"/>
  <c r="E595" i="2" s="1"/>
  <c r="D594" i="2"/>
  <c r="E594" i="2" s="1"/>
  <c r="D593" i="2"/>
  <c r="E593" i="2" s="1"/>
  <c r="D592" i="2"/>
  <c r="E592" i="2" s="1"/>
  <c r="F592" i="2" s="1"/>
  <c r="D591" i="2"/>
  <c r="E591" i="2" s="1"/>
  <c r="D590" i="2"/>
  <c r="E590" i="2" s="1"/>
  <c r="D589" i="2"/>
  <c r="E589" i="2" s="1"/>
  <c r="D588" i="2"/>
  <c r="E588" i="2" s="1"/>
  <c r="F588" i="2" s="1"/>
  <c r="D587" i="2"/>
  <c r="E587" i="2" s="1"/>
  <c r="D586" i="2"/>
  <c r="E586" i="2" s="1"/>
  <c r="D585" i="2"/>
  <c r="E585" i="2" s="1"/>
  <c r="E583" i="2"/>
  <c r="D580" i="2"/>
  <c r="E580" i="2" s="1"/>
  <c r="D579" i="2"/>
  <c r="E579" i="2" s="1"/>
  <c r="D578" i="2"/>
  <c r="E578" i="2" s="1"/>
  <c r="F578" i="2" s="1"/>
  <c r="D577" i="2"/>
  <c r="E577" i="2" s="1"/>
  <c r="D576" i="2"/>
  <c r="E576" i="2" s="1"/>
  <c r="D574" i="2"/>
  <c r="E574" i="2" s="1"/>
  <c r="D573" i="2"/>
  <c r="E573" i="2" s="1"/>
  <c r="F573" i="2" s="1"/>
  <c r="D571" i="2"/>
  <c r="E571" i="2" s="1"/>
  <c r="D570" i="2"/>
  <c r="E570" i="2" s="1"/>
  <c r="D569" i="2"/>
  <c r="E569" i="2" s="1"/>
  <c r="D568" i="2"/>
  <c r="E568" i="2" s="1"/>
  <c r="F568" i="2" s="1"/>
  <c r="D567" i="2"/>
  <c r="E567" i="2" s="1"/>
  <c r="D566" i="2"/>
  <c r="E566" i="2" s="1"/>
  <c r="D565" i="2"/>
  <c r="E565" i="2" s="1"/>
  <c r="D564" i="2"/>
  <c r="E564" i="2" s="1"/>
  <c r="F564" i="2" s="1"/>
  <c r="D563" i="2"/>
  <c r="E563" i="2" s="1"/>
  <c r="D562" i="2"/>
  <c r="E562" i="2" s="1"/>
  <c r="D560" i="2"/>
  <c r="E560" i="2" s="1"/>
  <c r="F560" i="2" s="1"/>
  <c r="D559" i="2"/>
  <c r="E559" i="2" s="1"/>
  <c r="D558" i="2"/>
  <c r="E558" i="2" s="1"/>
  <c r="E557" i="2"/>
  <c r="D556" i="2"/>
  <c r="E556" i="2" s="1"/>
  <c r="D554" i="2"/>
  <c r="E554" i="2" s="1"/>
  <c r="D553" i="2"/>
  <c r="D552" i="2"/>
  <c r="E552" i="2" s="1"/>
  <c r="D551" i="2"/>
  <c r="E551" i="2" s="1"/>
  <c r="F551" i="2" s="1"/>
  <c r="D550" i="2"/>
  <c r="E550" i="2" s="1"/>
  <c r="D549" i="2"/>
  <c r="E549" i="2" s="1"/>
  <c r="D538" i="2"/>
  <c r="E538" i="2" s="1"/>
  <c r="D537" i="2"/>
  <c r="E537" i="2" s="1"/>
  <c r="D536" i="2"/>
  <c r="E536" i="2" s="1"/>
  <c r="D535" i="2"/>
  <c r="D534" i="2"/>
  <c r="E534" i="2" s="1"/>
  <c r="D533" i="2"/>
  <c r="E533" i="2" s="1"/>
  <c r="F533" i="2" s="1"/>
  <c r="D532" i="2"/>
  <c r="E532" i="2" s="1"/>
  <c r="D531" i="2"/>
  <c r="E531" i="2" s="1"/>
  <c r="D530" i="2"/>
  <c r="E530" i="2" s="1"/>
  <c r="D529" i="2"/>
  <c r="E529" i="2" s="1"/>
  <c r="F529" i="2" s="1"/>
  <c r="D528" i="2"/>
  <c r="E528" i="2" s="1"/>
  <c r="F528" i="2" s="1"/>
  <c r="D527" i="2"/>
  <c r="D526" i="2"/>
  <c r="E526" i="2" s="1"/>
  <c r="D525" i="2"/>
  <c r="E525" i="2" s="1"/>
  <c r="F525" i="2" s="1"/>
  <c r="D524" i="2"/>
  <c r="E524" i="2" s="1"/>
  <c r="D523" i="2"/>
  <c r="E523" i="2" s="1"/>
  <c r="D522" i="2"/>
  <c r="E522" i="2" s="1"/>
  <c r="D521" i="2"/>
  <c r="E521" i="2" s="1"/>
  <c r="F521" i="2" s="1"/>
  <c r="D520" i="2"/>
  <c r="E520" i="2" s="1"/>
  <c r="D519" i="2"/>
  <c r="E519" i="2" s="1"/>
  <c r="D518" i="2"/>
  <c r="E518" i="2" s="1"/>
  <c r="D517" i="2"/>
  <c r="E517" i="2" s="1"/>
  <c r="F517" i="2" s="1"/>
  <c r="D516" i="2"/>
  <c r="E516" i="2" s="1"/>
  <c r="D515" i="2"/>
  <c r="E515" i="2" s="1"/>
  <c r="D514" i="2"/>
  <c r="E514" i="2" s="1"/>
  <c r="D513" i="2"/>
  <c r="E513" i="2" s="1"/>
  <c r="F513" i="2" s="1"/>
  <c r="D511" i="2"/>
  <c r="E511" i="2" s="1"/>
  <c r="F511" i="2" s="1"/>
  <c r="D509" i="2"/>
  <c r="E509" i="2" s="1"/>
  <c r="D508" i="2"/>
  <c r="E508" i="2" s="1"/>
  <c r="F508" i="2" s="1"/>
  <c r="E507" i="2"/>
  <c r="E506" i="2"/>
  <c r="E505" i="2"/>
  <c r="E504" i="2"/>
  <c r="F504" i="2" s="1"/>
  <c r="E503" i="2"/>
  <c r="F503" i="2" s="1"/>
  <c r="E501" i="2"/>
  <c r="E500" i="2"/>
  <c r="F500" i="2" s="1"/>
  <c r="E499" i="2"/>
  <c r="E498" i="2"/>
  <c r="E497" i="2"/>
  <c r="E496" i="2"/>
  <c r="F496" i="2" s="1"/>
  <c r="D495" i="2"/>
  <c r="E495" i="2" s="1"/>
  <c r="E494" i="2"/>
  <c r="D492" i="2"/>
  <c r="E492" i="2" s="1"/>
  <c r="D491" i="2"/>
  <c r="E491" i="2" s="1"/>
  <c r="F491" i="2" s="1"/>
  <c r="D490" i="2"/>
  <c r="E490" i="2" s="1"/>
  <c r="D489" i="2"/>
  <c r="E489" i="2" s="1"/>
  <c r="D488" i="2"/>
  <c r="E488" i="2" s="1"/>
  <c r="D482" i="2"/>
  <c r="E482" i="2" s="1"/>
  <c r="F482" i="2" s="1"/>
  <c r="D481" i="2"/>
  <c r="E481" i="2" s="1"/>
  <c r="F481" i="2" s="1"/>
  <c r="D478" i="2"/>
  <c r="E478" i="2" s="1"/>
  <c r="D477" i="2"/>
  <c r="E477" i="2" s="1"/>
  <c r="D476" i="2"/>
  <c r="E476" i="2" s="1"/>
  <c r="F476" i="2" s="1"/>
  <c r="D475" i="2"/>
  <c r="E475" i="2" s="1"/>
  <c r="D474" i="2"/>
  <c r="E474" i="2" s="1"/>
  <c r="D473" i="2"/>
  <c r="E473" i="2" s="1"/>
  <c r="D472" i="2"/>
  <c r="E472" i="2" s="1"/>
  <c r="F472" i="2" s="1"/>
  <c r="D471" i="2"/>
  <c r="E471" i="2" s="1"/>
  <c r="D470" i="2"/>
  <c r="E470" i="2" s="1"/>
  <c r="D469" i="2"/>
  <c r="E469" i="2" s="1"/>
  <c r="D467" i="2"/>
  <c r="E467" i="2" s="1"/>
  <c r="F467" i="2" s="1"/>
  <c r="D466" i="2"/>
  <c r="E466" i="2" s="1"/>
  <c r="D465" i="2"/>
  <c r="E465" i="2" s="1"/>
  <c r="D464" i="2"/>
  <c r="E464" i="2" s="1"/>
  <c r="D463" i="2"/>
  <c r="E463" i="2" s="1"/>
  <c r="F463" i="2" s="1"/>
  <c r="D462" i="2"/>
  <c r="E462" i="2" s="1"/>
  <c r="F462" i="2" s="1"/>
  <c r="D461" i="2"/>
  <c r="E461" i="2" s="1"/>
  <c r="D460" i="2"/>
  <c r="E460" i="2" s="1"/>
  <c r="D459" i="2"/>
  <c r="D458" i="2"/>
  <c r="E458" i="2" s="1"/>
  <c r="D457" i="2"/>
  <c r="E457" i="2" s="1"/>
  <c r="D456" i="2"/>
  <c r="E456" i="2" s="1"/>
  <c r="D455" i="2"/>
  <c r="E455" i="2" s="1"/>
  <c r="F455" i="2" s="1"/>
  <c r="D454" i="2"/>
  <c r="E454" i="2" s="1"/>
  <c r="D453" i="2"/>
  <c r="E453" i="2" s="1"/>
  <c r="D451" i="2"/>
  <c r="E451" i="2" s="1"/>
  <c r="D450" i="2"/>
  <c r="E450" i="2" s="1"/>
  <c r="F450" i="2" s="1"/>
  <c r="D449" i="2"/>
  <c r="E449" i="2" s="1"/>
  <c r="F449" i="2" s="1"/>
  <c r="D448" i="2"/>
  <c r="E448" i="2" s="1"/>
  <c r="D446" i="2"/>
  <c r="E446" i="2" s="1"/>
  <c r="D445" i="2"/>
  <c r="E445" i="2" s="1"/>
  <c r="F445" i="2" s="1"/>
  <c r="D444" i="2"/>
  <c r="E444" i="2" s="1"/>
  <c r="D443" i="2"/>
  <c r="E443" i="2" s="1"/>
  <c r="D442" i="2"/>
  <c r="E442" i="2" s="1"/>
  <c r="D441" i="2"/>
  <c r="E441" i="2" s="1"/>
  <c r="F441" i="2" s="1"/>
  <c r="D440" i="2"/>
  <c r="D439" i="2"/>
  <c r="E439" i="2" s="1"/>
  <c r="D438" i="2"/>
  <c r="E438" i="2" s="1"/>
  <c r="D437" i="2"/>
  <c r="E437" i="2" s="1"/>
  <c r="F437" i="2" s="1"/>
  <c r="D436" i="2"/>
  <c r="E436" i="2" s="1"/>
  <c r="D435" i="2"/>
  <c r="E435" i="2" s="1"/>
  <c r="D434" i="2"/>
  <c r="E434" i="2" s="1"/>
  <c r="D433" i="2"/>
  <c r="E433" i="2" s="1"/>
  <c r="F433" i="2" s="1"/>
  <c r="D431" i="2"/>
  <c r="E431" i="2" s="1"/>
  <c r="F431" i="2" s="1"/>
  <c r="D430" i="2"/>
  <c r="E430" i="2" s="1"/>
  <c r="E428" i="2"/>
  <c r="D427" i="2"/>
  <c r="E427" i="2" s="1"/>
  <c r="F427" i="2" s="1"/>
  <c r="D426" i="2"/>
  <c r="E426" i="2" s="1"/>
  <c r="F426" i="2" s="1"/>
  <c r="D425" i="2"/>
  <c r="E425" i="2" s="1"/>
  <c r="D424" i="2"/>
  <c r="E424" i="2" s="1"/>
  <c r="D423" i="2"/>
  <c r="E423" i="2" s="1"/>
  <c r="F423" i="2" s="1"/>
  <c r="D422" i="2"/>
  <c r="E422" i="2" s="1"/>
  <c r="D421" i="2"/>
  <c r="E421" i="2" s="1"/>
  <c r="D420" i="2"/>
  <c r="E420" i="2" s="1"/>
  <c r="D419" i="2"/>
  <c r="E419" i="2" s="1"/>
  <c r="F419" i="2" s="1"/>
  <c r="D417" i="2"/>
  <c r="E417" i="2" s="1"/>
  <c r="D415" i="2"/>
  <c r="E415" i="2" s="1"/>
  <c r="D414" i="2"/>
  <c r="E414" i="2" s="1"/>
  <c r="D413" i="2"/>
  <c r="E413" i="2" s="1"/>
  <c r="F413" i="2" s="1"/>
  <c r="D412" i="2"/>
  <c r="E412" i="2" s="1"/>
  <c r="F412" i="2" s="1"/>
  <c r="D411" i="2"/>
  <c r="E411" i="2" s="1"/>
  <c r="D410" i="2"/>
  <c r="E410" i="2" s="1"/>
  <c r="D409" i="2"/>
  <c r="E409" i="2" s="1"/>
  <c r="F409" i="2" s="1"/>
  <c r="D407" i="2"/>
  <c r="E407" i="2" s="1"/>
  <c r="D406" i="2"/>
  <c r="D405" i="2"/>
  <c r="E405" i="2" s="1"/>
  <c r="D404" i="2"/>
  <c r="E404" i="2" s="1"/>
  <c r="F404" i="2" s="1"/>
  <c r="D403" i="2"/>
  <c r="D402" i="2"/>
  <c r="E402" i="2" s="1"/>
  <c r="D401" i="2"/>
  <c r="E401" i="2" s="1"/>
  <c r="D399" i="2"/>
  <c r="E399" i="2" s="1"/>
  <c r="F399" i="2" s="1"/>
  <c r="D398" i="2"/>
  <c r="E398" i="2" s="1"/>
  <c r="D397" i="2"/>
  <c r="E397" i="2" s="1"/>
  <c r="D396" i="2"/>
  <c r="E396" i="2" s="1"/>
  <c r="D395" i="2"/>
  <c r="E395" i="2" s="1"/>
  <c r="F395" i="2" s="1"/>
  <c r="D394" i="2"/>
  <c r="E394" i="2" s="1"/>
  <c r="F394" i="2" s="1"/>
  <c r="D393" i="2"/>
  <c r="E393" i="2" s="1"/>
  <c r="D392" i="2"/>
  <c r="E392" i="2" s="1"/>
  <c r="D391" i="2"/>
  <c r="E391" i="2" s="1"/>
  <c r="F391" i="2" s="1"/>
  <c r="D390" i="2"/>
  <c r="E390" i="2" s="1"/>
  <c r="F390" i="2" s="1"/>
  <c r="D388" i="2"/>
  <c r="D387" i="2"/>
  <c r="E387" i="2" s="1"/>
  <c r="D380" i="2"/>
  <c r="E380" i="2" s="1"/>
  <c r="F380" i="2" s="1"/>
  <c r="D376" i="2"/>
  <c r="E376" i="2" s="1"/>
  <c r="D375" i="2"/>
  <c r="E375" i="2" s="1"/>
  <c r="D374" i="2"/>
  <c r="E374" i="2" s="1"/>
  <c r="E370" i="2"/>
  <c r="F370" i="2" s="1"/>
  <c r="G370" i="2" s="1"/>
  <c r="E369" i="2"/>
  <c r="F369" i="2" s="1"/>
  <c r="E367" i="2"/>
  <c r="F367" i="2" s="1"/>
  <c r="E366" i="2"/>
  <c r="F366" i="2" s="1"/>
  <c r="E365" i="2"/>
  <c r="F365" i="2" s="1"/>
  <c r="G365" i="2" s="1"/>
  <c r="E364" i="2"/>
  <c r="F364" i="2" s="1"/>
  <c r="G364" i="2" s="1"/>
  <c r="E363" i="2"/>
  <c r="F363" i="2" s="1"/>
  <c r="E362" i="2"/>
  <c r="F362" i="2" s="1"/>
  <c r="E361" i="2"/>
  <c r="F361" i="2" s="1"/>
  <c r="G361" i="2" s="1"/>
  <c r="E360" i="2"/>
  <c r="F360" i="2" s="1"/>
  <c r="E359" i="2"/>
  <c r="E358" i="2"/>
  <c r="F358" i="2" s="1"/>
  <c r="E357" i="2"/>
  <c r="F357" i="2" s="1"/>
  <c r="G357" i="2" s="1"/>
  <c r="E356" i="2"/>
  <c r="E355" i="2"/>
  <c r="F355" i="2" s="1"/>
  <c r="E354" i="2"/>
  <c r="F354" i="2" s="1"/>
  <c r="E353" i="2"/>
  <c r="F353" i="2" s="1"/>
  <c r="G353" i="2" s="1"/>
  <c r="E352" i="2"/>
  <c r="F352" i="2" s="1"/>
  <c r="E351" i="2"/>
  <c r="F351" i="2" s="1"/>
  <c r="E350" i="2"/>
  <c r="F350" i="2" s="1"/>
  <c r="E349" i="2"/>
  <c r="F349" i="2" s="1"/>
  <c r="G349" i="2" s="1"/>
  <c r="E348" i="2"/>
  <c r="F348" i="2" s="1"/>
  <c r="G348" i="2" s="1"/>
  <c r="E347" i="2"/>
  <c r="F347" i="2" s="1"/>
  <c r="D341" i="2"/>
  <c r="E341" i="2" s="1"/>
  <c r="BL340" i="2"/>
  <c r="BI340" i="2"/>
  <c r="Y340" i="2"/>
  <c r="D340" i="2"/>
  <c r="E340" i="2" s="1"/>
  <c r="F340" i="2" s="1"/>
  <c r="BL339" i="2"/>
  <c r="BI339" i="2"/>
  <c r="Y339" i="2"/>
  <c r="D339" i="2"/>
  <c r="E339" i="2" s="1"/>
  <c r="BL338" i="2"/>
  <c r="BI338" i="2"/>
  <c r="Y338" i="2"/>
  <c r="D338" i="2"/>
  <c r="E338" i="2" s="1"/>
  <c r="BL337" i="2"/>
  <c r="BI337" i="2"/>
  <c r="Y337" i="2"/>
  <c r="D337" i="2"/>
  <c r="E337" i="2" s="1"/>
  <c r="BI329" i="2"/>
  <c r="Y329" i="2"/>
  <c r="J329" i="2"/>
  <c r="I329" i="2"/>
  <c r="E329" i="2"/>
  <c r="F329" i="2" s="1"/>
  <c r="BI328" i="2"/>
  <c r="Y328" i="2"/>
  <c r="J328" i="2"/>
  <c r="I328" i="2"/>
  <c r="E328" i="2"/>
  <c r="F328" i="2" s="1"/>
  <c r="BI327" i="2"/>
  <c r="Y327" i="2"/>
  <c r="J327" i="2"/>
  <c r="I327" i="2"/>
  <c r="E327" i="2"/>
  <c r="F327" i="2" s="1"/>
  <c r="BI326" i="2"/>
  <c r="Y326" i="2"/>
  <c r="J326" i="2"/>
  <c r="I326" i="2"/>
  <c r="E326" i="2"/>
  <c r="F326" i="2" s="1"/>
  <c r="BI325" i="2"/>
  <c r="Y325" i="2"/>
  <c r="J325" i="2"/>
  <c r="I325" i="2"/>
  <c r="E325" i="2"/>
  <c r="F325" i="2" s="1"/>
  <c r="BI324" i="2"/>
  <c r="Y324" i="2"/>
  <c r="E324" i="2"/>
  <c r="BI323" i="2"/>
  <c r="Y323" i="2"/>
  <c r="E323" i="2"/>
  <c r="F323" i="2" s="1"/>
  <c r="BI322" i="2"/>
  <c r="Y322" i="2"/>
  <c r="E322" i="2"/>
  <c r="F322" i="2" s="1"/>
  <c r="G322" i="2" s="1"/>
  <c r="BI321" i="2"/>
  <c r="Y321" i="2"/>
  <c r="E321" i="2"/>
  <c r="F321" i="2" s="1"/>
  <c r="BI320" i="2"/>
  <c r="Y320" i="2"/>
  <c r="E320" i="2"/>
  <c r="F320" i="2" s="1"/>
  <c r="BI319" i="2"/>
  <c r="Y319" i="2"/>
  <c r="E319" i="2"/>
  <c r="F319" i="2" s="1"/>
  <c r="BI318" i="2"/>
  <c r="Y318" i="2"/>
  <c r="E318" i="2"/>
  <c r="F318" i="2" s="1"/>
  <c r="BI317" i="2"/>
  <c r="Y317" i="2"/>
  <c r="E317" i="2"/>
  <c r="F317" i="2" s="1"/>
  <c r="BI316" i="2"/>
  <c r="Y316" i="2"/>
  <c r="E316" i="2"/>
  <c r="F316" i="2" s="1"/>
  <c r="G316" i="2" s="1"/>
  <c r="BI315" i="2"/>
  <c r="Y315" i="2"/>
  <c r="E315" i="2"/>
  <c r="F315" i="2" s="1"/>
  <c r="BI314" i="2"/>
  <c r="Y314" i="2"/>
  <c r="E314" i="2"/>
  <c r="F314" i="2" s="1"/>
  <c r="G314" i="2" s="1"/>
  <c r="BI313" i="2"/>
  <c r="Y313" i="2"/>
  <c r="E313" i="2"/>
  <c r="F313" i="2" s="1"/>
  <c r="BI312" i="2"/>
  <c r="Y312" i="2"/>
  <c r="E312" i="2"/>
  <c r="F312" i="2" s="1"/>
  <c r="BI311" i="2"/>
  <c r="Y311" i="2"/>
  <c r="E311" i="2"/>
  <c r="F311" i="2" s="1"/>
  <c r="BI310" i="2"/>
  <c r="Y310" i="2"/>
  <c r="J310" i="2"/>
  <c r="I310" i="2"/>
  <c r="E310" i="2"/>
  <c r="F310" i="2" s="1"/>
  <c r="BI309" i="2"/>
  <c r="Y309" i="2"/>
  <c r="J309" i="2"/>
  <c r="I309" i="2"/>
  <c r="E309" i="2"/>
  <c r="F309" i="2" s="1"/>
  <c r="BI308" i="2"/>
  <c r="Y308" i="2"/>
  <c r="J308" i="2"/>
  <c r="I308" i="2"/>
  <c r="E308" i="2"/>
  <c r="F308" i="2" s="1"/>
  <c r="BI307" i="2"/>
  <c r="Y307" i="2"/>
  <c r="E307" i="2"/>
  <c r="F307" i="2" s="1"/>
  <c r="BI306" i="2"/>
  <c r="Y306" i="2"/>
  <c r="E306" i="2"/>
  <c r="F306" i="2" s="1"/>
  <c r="BI305" i="2"/>
  <c r="Y305" i="2"/>
  <c r="E305" i="2"/>
  <c r="F305" i="2" s="1"/>
  <c r="BI304" i="2"/>
  <c r="Y304" i="2"/>
  <c r="J304" i="2"/>
  <c r="I304" i="2"/>
  <c r="E304" i="2"/>
  <c r="F304" i="2" s="1"/>
  <c r="BI303" i="2"/>
  <c r="Y303" i="2"/>
  <c r="J303" i="2"/>
  <c r="I303" i="2"/>
  <c r="E303" i="2"/>
  <c r="BI302" i="2"/>
  <c r="Y302" i="2"/>
  <c r="J302" i="2"/>
  <c r="I302" i="2"/>
  <c r="E302" i="2"/>
  <c r="F302" i="2" s="1"/>
  <c r="G302" i="2" s="1"/>
  <c r="BI301" i="2"/>
  <c r="Y301" i="2"/>
  <c r="E301" i="2"/>
  <c r="F301" i="2" s="1"/>
  <c r="BI300" i="2"/>
  <c r="Y300" i="2"/>
  <c r="E300" i="2"/>
  <c r="F300" i="2" s="1"/>
  <c r="G300" i="2" s="1"/>
  <c r="BI299" i="2"/>
  <c r="Y299" i="2"/>
  <c r="E299" i="2"/>
  <c r="F299" i="2" s="1"/>
  <c r="BI298" i="2"/>
  <c r="Y298" i="2"/>
  <c r="E298" i="2"/>
  <c r="F298" i="2" s="1"/>
  <c r="BI297" i="2"/>
  <c r="Y297" i="2"/>
  <c r="J297" i="2"/>
  <c r="I297" i="2"/>
  <c r="E297" i="2"/>
  <c r="F297" i="2" s="1"/>
  <c r="BI296" i="2"/>
  <c r="Y296" i="2"/>
  <c r="J296" i="2"/>
  <c r="I296" i="2"/>
  <c r="E296" i="2"/>
  <c r="F296" i="2" s="1"/>
  <c r="BI295" i="2"/>
  <c r="Y295" i="2"/>
  <c r="J295" i="2"/>
  <c r="I295" i="2"/>
  <c r="E295" i="2"/>
  <c r="BI294" i="2"/>
  <c r="Y294" i="2"/>
  <c r="J294" i="2"/>
  <c r="I294" i="2"/>
  <c r="E294" i="2"/>
  <c r="F294" i="2" s="1"/>
  <c r="BI293" i="2"/>
  <c r="Y293" i="2"/>
  <c r="J293" i="2"/>
  <c r="I293" i="2"/>
  <c r="E293" i="2"/>
  <c r="F293" i="2" s="1"/>
  <c r="G293" i="2" s="1"/>
  <c r="BI292" i="2"/>
  <c r="Y292" i="2"/>
  <c r="J292" i="2"/>
  <c r="I292" i="2"/>
  <c r="E292" i="2"/>
  <c r="F292" i="2" s="1"/>
  <c r="BI291" i="2"/>
  <c r="Y291" i="2"/>
  <c r="J291" i="2"/>
  <c r="I291" i="2"/>
  <c r="E291" i="2"/>
  <c r="F291" i="2" s="1"/>
  <c r="BI290" i="2"/>
  <c r="Y290" i="2"/>
  <c r="J290" i="2"/>
  <c r="I290" i="2"/>
  <c r="E290" i="2"/>
  <c r="F290" i="2" s="1"/>
  <c r="BI289" i="2"/>
  <c r="Y289" i="2"/>
  <c r="J289" i="2"/>
  <c r="I289" i="2"/>
  <c r="E289" i="2"/>
  <c r="F289" i="2" s="1"/>
  <c r="BI288" i="2"/>
  <c r="Y288" i="2"/>
  <c r="J288" i="2"/>
  <c r="I288" i="2"/>
  <c r="E288" i="2"/>
  <c r="F288" i="2" s="1"/>
  <c r="BI287" i="2"/>
  <c r="Y287" i="2"/>
  <c r="J287" i="2"/>
  <c r="I287" i="2"/>
  <c r="E287" i="2"/>
  <c r="BI286" i="2"/>
  <c r="Y286" i="2"/>
  <c r="J286" i="2"/>
  <c r="I286" i="2"/>
  <c r="E286" i="2"/>
  <c r="F286" i="2" s="1"/>
  <c r="BI285" i="2"/>
  <c r="Y285" i="2"/>
  <c r="J285" i="2"/>
  <c r="I285" i="2"/>
  <c r="E285" i="2"/>
  <c r="F285" i="2" s="1"/>
  <c r="G285" i="2" s="1"/>
  <c r="BI284" i="2"/>
  <c r="Y284" i="2"/>
  <c r="J284" i="2"/>
  <c r="I284" i="2"/>
  <c r="E284" i="2"/>
  <c r="BI283" i="2"/>
  <c r="Y283" i="2"/>
  <c r="J283" i="2"/>
  <c r="I283" i="2"/>
  <c r="E283" i="2"/>
  <c r="F283" i="2" s="1"/>
  <c r="BI282" i="2"/>
  <c r="Y282" i="2"/>
  <c r="J282" i="2"/>
  <c r="I282" i="2"/>
  <c r="E282" i="2"/>
  <c r="F282" i="2" s="1"/>
  <c r="BI281" i="2"/>
  <c r="Y281" i="2"/>
  <c r="J281" i="2"/>
  <c r="I281" i="2"/>
  <c r="E281" i="2"/>
  <c r="F281" i="2" s="1"/>
  <c r="G281" i="2" s="1"/>
  <c r="BI280" i="2"/>
  <c r="Y280" i="2"/>
  <c r="J280" i="2"/>
  <c r="I280" i="2"/>
  <c r="E280" i="2"/>
  <c r="F280" i="2" s="1"/>
  <c r="G280" i="2" s="1"/>
  <c r="BI279" i="2"/>
  <c r="Y279" i="2"/>
  <c r="J279" i="2"/>
  <c r="I279" i="2"/>
  <c r="E279" i="2"/>
  <c r="F279" i="2" s="1"/>
  <c r="BI278" i="2"/>
  <c r="Y278" i="2"/>
  <c r="J278" i="2"/>
  <c r="I278" i="2"/>
  <c r="E278" i="2"/>
  <c r="F278" i="2" s="1"/>
  <c r="BI277" i="2"/>
  <c r="Y277" i="2"/>
  <c r="J277" i="2"/>
  <c r="I277" i="2"/>
  <c r="E277" i="2"/>
  <c r="F277" i="2" s="1"/>
  <c r="G277" i="2" s="1"/>
  <c r="BI276" i="2"/>
  <c r="Y276" i="2"/>
  <c r="J276" i="2"/>
  <c r="I276" i="2"/>
  <c r="E276" i="2"/>
  <c r="F276" i="2" s="1"/>
  <c r="G276" i="2" s="1"/>
  <c r="BI275" i="2"/>
  <c r="Y275" i="2"/>
  <c r="J275" i="2"/>
  <c r="I275" i="2"/>
  <c r="E275" i="2"/>
  <c r="F275" i="2" s="1"/>
  <c r="BI274" i="2"/>
  <c r="Y274" i="2"/>
  <c r="J274" i="2"/>
  <c r="I274" i="2"/>
  <c r="E274" i="2"/>
  <c r="F274" i="2" s="1"/>
  <c r="BI273" i="2"/>
  <c r="Y273" i="2"/>
  <c r="J273" i="2"/>
  <c r="I273" i="2"/>
  <c r="E273" i="2"/>
  <c r="F273" i="2" s="1"/>
  <c r="G273" i="2" s="1"/>
  <c r="BI272" i="2"/>
  <c r="Y272" i="2"/>
  <c r="J272" i="2"/>
  <c r="I272" i="2"/>
  <c r="E272" i="2"/>
  <c r="F272" i="2" s="1"/>
  <c r="BI271" i="2"/>
  <c r="Y271" i="2"/>
  <c r="J271" i="2"/>
  <c r="I271" i="2"/>
  <c r="E271" i="2"/>
  <c r="BK270" i="2"/>
  <c r="BI270" i="2"/>
  <c r="Y270" i="2"/>
  <c r="J270" i="2"/>
  <c r="I270" i="2"/>
  <c r="E270" i="2"/>
  <c r="F270" i="2" s="1"/>
  <c r="G270" i="2" s="1"/>
  <c r="J269" i="2"/>
  <c r="I269" i="2"/>
  <c r="J268" i="2"/>
  <c r="I268" i="2"/>
  <c r="J267" i="2"/>
  <c r="I267" i="2"/>
  <c r="J266" i="2"/>
  <c r="I266" i="2"/>
  <c r="Y264" i="2"/>
  <c r="J264" i="2"/>
  <c r="I264" i="2"/>
  <c r="E264" i="2"/>
  <c r="F264" i="2" s="1"/>
  <c r="G264" i="2" s="1"/>
  <c r="Y263" i="2"/>
  <c r="J263" i="2"/>
  <c r="I263" i="2"/>
  <c r="E263" i="2"/>
  <c r="F263" i="2" s="1"/>
  <c r="Y262" i="2"/>
  <c r="J262" i="2"/>
  <c r="I262" i="2"/>
  <c r="E262" i="2"/>
  <c r="F262" i="2" s="1"/>
  <c r="Y261" i="2"/>
  <c r="J261" i="2"/>
  <c r="I261" i="2"/>
  <c r="E261" i="2"/>
  <c r="F261" i="2" s="1"/>
  <c r="Y260" i="2"/>
  <c r="J260" i="2"/>
  <c r="I260" i="2"/>
  <c r="E260" i="2"/>
  <c r="F260" i="2" s="1"/>
  <c r="Y259" i="2"/>
  <c r="J259" i="2"/>
  <c r="I259" i="2"/>
  <c r="E259" i="2"/>
  <c r="F259" i="2" s="1"/>
  <c r="Y258" i="2"/>
  <c r="J258" i="2"/>
  <c r="I258" i="2"/>
  <c r="E258" i="2"/>
  <c r="F258" i="2" s="1"/>
  <c r="G258" i="2" s="1"/>
  <c r="J257" i="2"/>
  <c r="I257" i="2"/>
  <c r="J256" i="2"/>
  <c r="I256" i="2"/>
  <c r="J255" i="2"/>
  <c r="I255" i="2"/>
  <c r="J254" i="2"/>
  <c r="I254" i="2"/>
  <c r="J253" i="2"/>
  <c r="I253" i="2"/>
  <c r="J252" i="2"/>
  <c r="I252" i="2"/>
  <c r="F252" i="2"/>
  <c r="G252" i="2" s="1"/>
  <c r="J250" i="2"/>
  <c r="I250" i="2"/>
  <c r="F250" i="2"/>
  <c r="G250" i="2" s="1"/>
  <c r="J248" i="2"/>
  <c r="I248" i="2"/>
  <c r="J243" i="2"/>
  <c r="I243" i="2"/>
  <c r="J242" i="2"/>
  <c r="I242" i="2"/>
  <c r="J241" i="2"/>
  <c r="I241" i="2"/>
  <c r="E237" i="2"/>
  <c r="F237" i="2" s="1"/>
  <c r="E236" i="2"/>
  <c r="F236" i="2" s="1"/>
  <c r="G236" i="2" s="1"/>
  <c r="E235" i="2"/>
  <c r="F235" i="2" s="1"/>
  <c r="G235" i="2" s="1"/>
  <c r="E234" i="2"/>
  <c r="E232" i="2"/>
  <c r="F232" i="2" s="1"/>
  <c r="E231" i="2"/>
  <c r="F231" i="2" s="1"/>
  <c r="E230" i="2"/>
  <c r="F230" i="2" s="1"/>
  <c r="G230" i="2" s="1"/>
  <c r="E229" i="2"/>
  <c r="F229" i="2" s="1"/>
  <c r="E228" i="2"/>
  <c r="F228" i="2" s="1"/>
  <c r="E227" i="2"/>
  <c r="F227" i="2" s="1"/>
  <c r="E226" i="2"/>
  <c r="F226" i="2" s="1"/>
  <c r="E225" i="2"/>
  <c r="F225" i="2" s="1"/>
  <c r="E224" i="2"/>
  <c r="F224" i="2" s="1"/>
  <c r="E223" i="2"/>
  <c r="F223" i="2" s="1"/>
  <c r="G223" i="2" s="1"/>
  <c r="E222" i="2"/>
  <c r="F222" i="2" s="1"/>
  <c r="E221" i="2"/>
  <c r="F221" i="2" s="1"/>
  <c r="E218" i="2"/>
  <c r="F218" i="2" s="1"/>
  <c r="E217" i="2"/>
  <c r="F217" i="2" s="1"/>
  <c r="J216" i="2"/>
  <c r="I216" i="2"/>
  <c r="J215" i="2"/>
  <c r="I215" i="2"/>
  <c r="J214" i="2"/>
  <c r="I214" i="2"/>
  <c r="J213" i="2"/>
  <c r="I213" i="2"/>
  <c r="J212" i="2"/>
  <c r="I212" i="2"/>
  <c r="F208" i="2"/>
  <c r="G208" i="2" s="1"/>
  <c r="E207" i="2"/>
  <c r="F207" i="2" s="1"/>
  <c r="G207" i="2" s="1"/>
  <c r="E206" i="2"/>
  <c r="E205" i="2"/>
  <c r="F205" i="2" s="1"/>
  <c r="E204" i="2"/>
  <c r="F204" i="2" s="1"/>
  <c r="E203" i="2"/>
  <c r="F203" i="2" s="1"/>
  <c r="G203" i="2" s="1"/>
  <c r="E202" i="2"/>
  <c r="F202" i="2" s="1"/>
  <c r="E201" i="2"/>
  <c r="F201" i="2" s="1"/>
  <c r="E200" i="2"/>
  <c r="F200" i="2" s="1"/>
  <c r="E199" i="2"/>
  <c r="F199" i="2" s="1"/>
  <c r="E198" i="2"/>
  <c r="F198" i="2" s="1"/>
  <c r="E197" i="2"/>
  <c r="F197" i="2" s="1"/>
  <c r="E196" i="2"/>
  <c r="F196" i="2" s="1"/>
  <c r="G196" i="2" s="1"/>
  <c r="E195" i="2"/>
  <c r="F195" i="2" s="1"/>
  <c r="E194" i="2"/>
  <c r="F194" i="2" s="1"/>
  <c r="E193" i="2"/>
  <c r="F193" i="2" s="1"/>
  <c r="BH192" i="2"/>
  <c r="E192" i="2"/>
  <c r="F192" i="2" s="1"/>
  <c r="E191" i="2"/>
  <c r="F191" i="2" s="1"/>
  <c r="E190" i="2"/>
  <c r="F190" i="2" s="1"/>
  <c r="G190" i="2" s="1"/>
  <c r="E189" i="2"/>
  <c r="F189" i="2" s="1"/>
  <c r="G189" i="2" s="1"/>
  <c r="H188" i="2"/>
  <c r="E188" i="2"/>
  <c r="F188" i="2" s="1"/>
  <c r="G188" i="2" s="1"/>
  <c r="H187" i="2"/>
  <c r="E187" i="2"/>
  <c r="F187" i="2" s="1"/>
  <c r="G187" i="2" s="1"/>
  <c r="H186" i="2"/>
  <c r="E186" i="2"/>
  <c r="F186" i="2" s="1"/>
  <c r="G186" i="2" s="1"/>
  <c r="H185" i="2"/>
  <c r="E185" i="2"/>
  <c r="F185" i="2" s="1"/>
  <c r="G185" i="2" s="1"/>
  <c r="E184" i="2"/>
  <c r="J184" i="2" s="1"/>
  <c r="E183" i="2"/>
  <c r="F183" i="2" s="1"/>
  <c r="E182" i="2"/>
  <c r="F182" i="2" s="1"/>
  <c r="E181" i="2"/>
  <c r="I181" i="2" s="1"/>
  <c r="E180" i="2"/>
  <c r="J180" i="2" s="1"/>
  <c r="E179" i="2"/>
  <c r="F179" i="2" s="1"/>
  <c r="E178" i="2"/>
  <c r="F178" i="2" s="1"/>
  <c r="E177" i="2"/>
  <c r="I177" i="2" s="1"/>
  <c r="E176" i="2"/>
  <c r="J176" i="2" s="1"/>
  <c r="E175" i="2"/>
  <c r="F175" i="2" s="1"/>
  <c r="E174" i="2"/>
  <c r="F174" i="2" s="1"/>
  <c r="E173" i="2"/>
  <c r="I173" i="2" s="1"/>
  <c r="E172" i="2"/>
  <c r="J172" i="2" s="1"/>
  <c r="E171" i="2"/>
  <c r="F171" i="2" s="1"/>
  <c r="E170" i="2"/>
  <c r="F170" i="2" s="1"/>
  <c r="E169" i="2"/>
  <c r="I169" i="2" s="1"/>
  <c r="E168" i="2"/>
  <c r="J168" i="2" s="1"/>
  <c r="E167" i="2"/>
  <c r="F167" i="2" s="1"/>
  <c r="E166" i="2"/>
  <c r="F166" i="2" s="1"/>
  <c r="E165" i="2"/>
  <c r="I165" i="2" s="1"/>
  <c r="E164" i="2"/>
  <c r="J164" i="2" s="1"/>
  <c r="E163" i="2"/>
  <c r="F163" i="2" s="1"/>
  <c r="E162" i="2"/>
  <c r="F162" i="2" s="1"/>
  <c r="E161" i="2"/>
  <c r="I161" i="2" s="1"/>
  <c r="E160" i="2"/>
  <c r="J160" i="2" s="1"/>
  <c r="E159" i="2"/>
  <c r="F159" i="2" s="1"/>
  <c r="E158" i="2"/>
  <c r="F158" i="2" s="1"/>
  <c r="E157" i="2"/>
  <c r="I157" i="2" s="1"/>
  <c r="E156" i="2"/>
  <c r="J156" i="2" s="1"/>
  <c r="E155" i="2"/>
  <c r="F155" i="2" s="1"/>
  <c r="E154" i="2"/>
  <c r="F154" i="2" s="1"/>
  <c r="E153" i="2"/>
  <c r="I153" i="2" s="1"/>
  <c r="E152" i="2"/>
  <c r="J152" i="2" s="1"/>
  <c r="E151" i="2"/>
  <c r="F151" i="2" s="1"/>
  <c r="E150" i="2"/>
  <c r="F150" i="2" s="1"/>
  <c r="E149" i="2"/>
  <c r="I149" i="2" s="1"/>
  <c r="E148" i="2"/>
  <c r="J148" i="2" s="1"/>
  <c r="E147" i="2"/>
  <c r="F147" i="2" s="1"/>
  <c r="E146" i="2"/>
  <c r="F146" i="2" s="1"/>
  <c r="E145" i="2"/>
  <c r="I145" i="2" s="1"/>
  <c r="E144" i="2"/>
  <c r="J144" i="2" s="1"/>
  <c r="E143" i="2"/>
  <c r="F143" i="2" s="1"/>
  <c r="E142" i="2"/>
  <c r="F142" i="2" s="1"/>
  <c r="E141" i="2"/>
  <c r="I141" i="2" s="1"/>
  <c r="E140" i="2"/>
  <c r="J140" i="2" s="1"/>
  <c r="E139" i="2"/>
  <c r="F139" i="2" s="1"/>
  <c r="E138" i="2"/>
  <c r="F138" i="2" s="1"/>
  <c r="E137" i="2"/>
  <c r="I137" i="2" s="1"/>
  <c r="E136" i="2"/>
  <c r="J136" i="2" s="1"/>
  <c r="E135" i="2"/>
  <c r="F135" i="2" s="1"/>
  <c r="E134" i="2"/>
  <c r="F134" i="2" s="1"/>
  <c r="E133" i="2"/>
  <c r="I133" i="2" s="1"/>
  <c r="E132" i="2"/>
  <c r="J132" i="2" s="1"/>
  <c r="E131" i="2"/>
  <c r="F131" i="2" s="1"/>
  <c r="E130" i="2"/>
  <c r="F130" i="2" s="1"/>
  <c r="E129" i="2"/>
  <c r="I129" i="2" s="1"/>
  <c r="E128" i="2"/>
  <c r="J128" i="2" s="1"/>
  <c r="E127" i="2"/>
  <c r="F127" i="2" s="1"/>
  <c r="E126" i="2"/>
  <c r="F126" i="2" s="1"/>
  <c r="E125" i="2"/>
  <c r="I125" i="2" s="1"/>
  <c r="E124" i="2"/>
  <c r="J124" i="2" s="1"/>
  <c r="E123" i="2"/>
  <c r="F123" i="2" s="1"/>
  <c r="E122" i="2"/>
  <c r="F122" i="2" s="1"/>
  <c r="E121" i="2"/>
  <c r="I121" i="2" s="1"/>
  <c r="E120" i="2"/>
  <c r="J120" i="2" s="1"/>
  <c r="E119" i="2"/>
  <c r="F119" i="2" s="1"/>
  <c r="E118" i="2"/>
  <c r="F118" i="2" s="1"/>
  <c r="E117" i="2"/>
  <c r="I117" i="2" s="1"/>
  <c r="E116" i="2"/>
  <c r="J116" i="2" s="1"/>
  <c r="E115" i="2"/>
  <c r="F115" i="2" s="1"/>
  <c r="BH114" i="2"/>
  <c r="E114" i="2"/>
  <c r="J114" i="2" s="1"/>
  <c r="E113" i="2"/>
  <c r="F113" i="2" s="1"/>
  <c r="E112" i="2"/>
  <c r="F112" i="2" s="1"/>
  <c r="E111" i="2"/>
  <c r="I111" i="2" s="1"/>
  <c r="E110" i="2"/>
  <c r="J110" i="2" s="1"/>
  <c r="E109" i="2"/>
  <c r="F109" i="2" s="1"/>
  <c r="E108" i="2"/>
  <c r="E107" i="2"/>
  <c r="I107" i="2" s="1"/>
  <c r="E106" i="2"/>
  <c r="J106" i="2" s="1"/>
  <c r="E105" i="2"/>
  <c r="F105" i="2" s="1"/>
  <c r="E104" i="2"/>
  <c r="F104" i="2" s="1"/>
  <c r="E103" i="2"/>
  <c r="I103" i="2" s="1"/>
  <c r="E102" i="2"/>
  <c r="J102" i="2" s="1"/>
  <c r="E101" i="2"/>
  <c r="F101" i="2" s="1"/>
  <c r="E100" i="2"/>
  <c r="E99" i="2"/>
  <c r="I99" i="2" s="1"/>
  <c r="E98" i="2"/>
  <c r="J98" i="2" s="1"/>
  <c r="E97" i="2"/>
  <c r="F97" i="2" s="1"/>
  <c r="BH96" i="2"/>
  <c r="AL96" i="2"/>
  <c r="AM96" i="2" s="1"/>
  <c r="AN96" i="2" s="1"/>
  <c r="F96" i="2"/>
  <c r="F921" i="2" l="1"/>
  <c r="I106" i="2"/>
  <c r="I176" i="2"/>
  <c r="BJ318" i="2"/>
  <c r="I98" i="2"/>
  <c r="F107" i="2"/>
  <c r="G107" i="2" s="1"/>
  <c r="F99" i="2"/>
  <c r="G99" i="2" s="1"/>
  <c r="F128" i="2"/>
  <c r="G128" i="2" s="1"/>
  <c r="F176" i="2"/>
  <c r="BJ299" i="2"/>
  <c r="F121" i="2"/>
  <c r="G121" i="2" s="1"/>
  <c r="I114" i="2"/>
  <c r="F169" i="2"/>
  <c r="G169" i="2" s="1"/>
  <c r="F161" i="2"/>
  <c r="G161" i="2" s="1"/>
  <c r="F168" i="2"/>
  <c r="G168" i="2" s="1"/>
  <c r="F153" i="2"/>
  <c r="G153" i="2" s="1"/>
  <c r="F160" i="2"/>
  <c r="G160" i="2" s="1"/>
  <c r="BJ302" i="2"/>
  <c r="I168" i="2"/>
  <c r="BJ276" i="2"/>
  <c r="BJ337" i="2"/>
  <c r="F944" i="2"/>
  <c r="F958" i="2"/>
  <c r="G292" i="2"/>
  <c r="I184" i="2"/>
  <c r="G289" i="2"/>
  <c r="BJ305" i="2"/>
  <c r="BJ311" i="2"/>
  <c r="BJ320" i="2"/>
  <c r="G360" i="2"/>
  <c r="F407" i="2"/>
  <c r="F444" i="2"/>
  <c r="F975" i="2"/>
  <c r="BJ324" i="2"/>
  <c r="BJ280" i="2"/>
  <c r="F536" i="2"/>
  <c r="BI114" i="2"/>
  <c r="F137" i="2"/>
  <c r="F144" i="2"/>
  <c r="G144" i="2" s="1"/>
  <c r="I160" i="2"/>
  <c r="F177" i="2"/>
  <c r="G177" i="2" s="1"/>
  <c r="F184" i="2"/>
  <c r="G184" i="2" s="1"/>
  <c r="F284" i="2"/>
  <c r="G284" i="2" s="1"/>
  <c r="G297" i="2"/>
  <c r="BJ298" i="2"/>
  <c r="F303" i="2"/>
  <c r="G303" i="2" s="1"/>
  <c r="BJ306" i="2"/>
  <c r="BJ312" i="2"/>
  <c r="BJ316" i="2"/>
  <c r="BJ321" i="2"/>
  <c r="F324" i="2"/>
  <c r="G324" i="2" s="1"/>
  <c r="BJ339" i="2"/>
  <c r="BJ340" i="2"/>
  <c r="F902" i="2"/>
  <c r="F939" i="2"/>
  <c r="F948" i="2"/>
  <c r="F969" i="2"/>
  <c r="F984" i="2"/>
  <c r="F1070" i="2"/>
  <c r="BI97" i="2"/>
  <c r="G272" i="2"/>
  <c r="BJ272" i="2"/>
  <c r="BJ277" i="2"/>
  <c r="G288" i="2"/>
  <c r="BJ288" i="2"/>
  <c r="G296" i="2"/>
  <c r="BJ296" i="2"/>
  <c r="BJ300" i="2"/>
  <c r="BJ314" i="2"/>
  <c r="BJ319" i="2"/>
  <c r="F466" i="2"/>
  <c r="F490" i="2"/>
  <c r="F507" i="2"/>
  <c r="F516" i="2"/>
  <c r="F103" i="2"/>
  <c r="G103" i="2" s="1"/>
  <c r="F110" i="2"/>
  <c r="G110" i="2" s="1"/>
  <c r="F120" i="2"/>
  <c r="G120" i="2" s="1"/>
  <c r="F129" i="2"/>
  <c r="G129" i="2" s="1"/>
  <c r="F152" i="2"/>
  <c r="G152" i="2" s="1"/>
  <c r="G200" i="2"/>
  <c r="G227" i="2"/>
  <c r="G262" i="2"/>
  <c r="G275" i="2"/>
  <c r="BJ281" i="2"/>
  <c r="BJ289" i="2"/>
  <c r="BJ297" i="2"/>
  <c r="G305" i="2"/>
  <c r="BJ338" i="2"/>
  <c r="F534" i="2"/>
  <c r="F552" i="2"/>
  <c r="F956" i="2"/>
  <c r="F1385" i="2"/>
  <c r="G1480" i="2"/>
  <c r="G195" i="2"/>
  <c r="G222" i="2"/>
  <c r="BJ270" i="2"/>
  <c r="G279" i="2"/>
  <c r="BJ285" i="2"/>
  <c r="BJ293" i="2"/>
  <c r="F376" i="2"/>
  <c r="F422" i="2"/>
  <c r="F458" i="2"/>
  <c r="F475" i="2"/>
  <c r="F499" i="2"/>
  <c r="F524" i="2"/>
  <c r="F556" i="2"/>
  <c r="F964" i="2"/>
  <c r="F992" i="2"/>
  <c r="F1391" i="2"/>
  <c r="F102" i="2"/>
  <c r="G102" i="2" s="1"/>
  <c r="F111" i="2"/>
  <c r="F136" i="2"/>
  <c r="G136" i="2" s="1"/>
  <c r="G137" i="2"/>
  <c r="F145" i="2"/>
  <c r="G145" i="2" s="1"/>
  <c r="G176" i="2"/>
  <c r="F271" i="2"/>
  <c r="G271" i="2" s="1"/>
  <c r="BJ273" i="2"/>
  <c r="G283" i="2"/>
  <c r="BJ284" i="2"/>
  <c r="F287" i="2"/>
  <c r="G287" i="2" s="1"/>
  <c r="G291" i="2"/>
  <c r="BJ292" i="2"/>
  <c r="F295" i="2"/>
  <c r="G295" i="2" s="1"/>
  <c r="BJ303" i="2"/>
  <c r="BJ307" i="2"/>
  <c r="BJ313" i="2"/>
  <c r="G318" i="2"/>
  <c r="BJ322" i="2"/>
  <c r="F339" i="2"/>
  <c r="F356" i="2"/>
  <c r="G356" i="2" s="1"/>
  <c r="E403" i="2"/>
  <c r="F403" i="2" s="1"/>
  <c r="E440" i="2"/>
  <c r="F440" i="2" s="1"/>
  <c r="F918" i="2"/>
  <c r="F994" i="2"/>
  <c r="F1108" i="2"/>
  <c r="E1363" i="2"/>
  <c r="F1363" i="2" s="1"/>
  <c r="G126" i="2"/>
  <c r="G134" i="2"/>
  <c r="I140" i="2"/>
  <c r="G150" i="2"/>
  <c r="I156" i="2"/>
  <c r="G97" i="2"/>
  <c r="F98" i="2"/>
  <c r="G98" i="2" s="1"/>
  <c r="I102" i="2"/>
  <c r="G104" i="2"/>
  <c r="F106" i="2"/>
  <c r="G106" i="2" s="1"/>
  <c r="I110" i="2"/>
  <c r="G112" i="2"/>
  <c r="F114" i="2"/>
  <c r="G114" i="2" s="1"/>
  <c r="G198" i="2"/>
  <c r="G199" i="2"/>
  <c r="G204" i="2"/>
  <c r="G225" i="2"/>
  <c r="G226" i="2"/>
  <c r="G231" i="2"/>
  <c r="G260" i="2"/>
  <c r="G261" i="2"/>
  <c r="G274" i="2"/>
  <c r="BJ274" i="2"/>
  <c r="G278" i="2"/>
  <c r="BJ278" i="2"/>
  <c r="G282" i="2"/>
  <c r="BJ282" i="2"/>
  <c r="G286" i="2"/>
  <c r="BJ286" i="2"/>
  <c r="G290" i="2"/>
  <c r="BJ290" i="2"/>
  <c r="G294" i="2"/>
  <c r="BJ294" i="2"/>
  <c r="G298" i="2"/>
  <c r="G304" i="2"/>
  <c r="BJ304" i="2"/>
  <c r="G307" i="2"/>
  <c r="G312" i="2"/>
  <c r="BJ317" i="2"/>
  <c r="G320" i="2"/>
  <c r="G351" i="2"/>
  <c r="G352" i="2"/>
  <c r="G367" i="2"/>
  <c r="G369" i="2"/>
  <c r="F397" i="2"/>
  <c r="F398" i="2"/>
  <c r="F415" i="2"/>
  <c r="F417" i="2"/>
  <c r="F435" i="2"/>
  <c r="F436" i="2"/>
  <c r="F453" i="2"/>
  <c r="F454" i="2"/>
  <c r="F470" i="2"/>
  <c r="F471" i="2"/>
  <c r="F494" i="2"/>
  <c r="F495" i="2"/>
  <c r="F519" i="2"/>
  <c r="F520" i="2"/>
  <c r="F537" i="2"/>
  <c r="F554" i="2"/>
  <c r="F886" i="2"/>
  <c r="F911" i="2"/>
  <c r="F934" i="2"/>
  <c r="F943" i="2"/>
  <c r="F966" i="2"/>
  <c r="F1124" i="2"/>
  <c r="F1128" i="2"/>
  <c r="F1369" i="2"/>
  <c r="F1374" i="2"/>
  <c r="F1378" i="2"/>
  <c r="F1380" i="2"/>
  <c r="F1381" i="2"/>
  <c r="F1382" i="2"/>
  <c r="F1384" i="2"/>
  <c r="F1399" i="2"/>
  <c r="F1410" i="2"/>
  <c r="F1411" i="2"/>
  <c r="I116" i="2"/>
  <c r="F100" i="2"/>
  <c r="G100" i="2" s="1"/>
  <c r="F108" i="2"/>
  <c r="G108" i="2" s="1"/>
  <c r="G111" i="2"/>
  <c r="F116" i="2"/>
  <c r="G116" i="2" s="1"/>
  <c r="F117" i="2"/>
  <c r="G117" i="2" s="1"/>
  <c r="I120" i="2"/>
  <c r="G122" i="2"/>
  <c r="F124" i="2"/>
  <c r="G124" i="2" s="1"/>
  <c r="F125" i="2"/>
  <c r="G125" i="2" s="1"/>
  <c r="I128" i="2"/>
  <c r="G130" i="2"/>
  <c r="F132" i="2"/>
  <c r="G132" i="2" s="1"/>
  <c r="F133" i="2"/>
  <c r="G133" i="2" s="1"/>
  <c r="I136" i="2"/>
  <c r="G138" i="2"/>
  <c r="F140" i="2"/>
  <c r="G140" i="2" s="1"/>
  <c r="F141" i="2"/>
  <c r="G141" i="2" s="1"/>
  <c r="I144" i="2"/>
  <c r="G146" i="2"/>
  <c r="F148" i="2"/>
  <c r="G148" i="2" s="1"/>
  <c r="F149" i="2"/>
  <c r="G149" i="2" s="1"/>
  <c r="I152" i="2"/>
  <c r="G154" i="2"/>
  <c r="F156" i="2"/>
  <c r="G156" i="2" s="1"/>
  <c r="F157" i="2"/>
  <c r="G157" i="2" s="1"/>
  <c r="G162" i="2"/>
  <c r="F164" i="2"/>
  <c r="G164" i="2" s="1"/>
  <c r="F165" i="2"/>
  <c r="G165" i="2" s="1"/>
  <c r="G170" i="2"/>
  <c r="F172" i="2"/>
  <c r="G172" i="2" s="1"/>
  <c r="F173" i="2"/>
  <c r="G173" i="2" s="1"/>
  <c r="G178" i="2"/>
  <c r="F180" i="2"/>
  <c r="G180" i="2" s="1"/>
  <c r="F181" i="2"/>
  <c r="G181" i="2" s="1"/>
  <c r="G192" i="2"/>
  <c r="G194" i="2"/>
  <c r="F206" i="2"/>
  <c r="G206" i="2" s="1"/>
  <c r="G221" i="2"/>
  <c r="F234" i="2"/>
  <c r="G234" i="2" s="1"/>
  <c r="G263" i="2"/>
  <c r="BJ271" i="2"/>
  <c r="BJ275" i="2"/>
  <c r="BJ279" i="2"/>
  <c r="BJ283" i="2"/>
  <c r="BJ287" i="2"/>
  <c r="BJ291" i="2"/>
  <c r="BJ295" i="2"/>
  <c r="BJ301" i="2"/>
  <c r="BJ315" i="2"/>
  <c r="BJ323" i="2"/>
  <c r="F338" i="2"/>
  <c r="G355" i="2"/>
  <c r="F359" i="2"/>
  <c r="G359" i="2" s="1"/>
  <c r="F375" i="2"/>
  <c r="E388" i="2"/>
  <c r="F388" i="2" s="1"/>
  <c r="F402" i="2"/>
  <c r="E406" i="2"/>
  <c r="F406" i="2" s="1"/>
  <c r="F421" i="2"/>
  <c r="F439" i="2"/>
  <c r="F457" i="2"/>
  <c r="F474" i="2"/>
  <c r="F498" i="2"/>
  <c r="E502" i="2"/>
  <c r="F502" i="2" s="1"/>
  <c r="F523" i="2"/>
  <c r="E527" i="2"/>
  <c r="F527" i="2" s="1"/>
  <c r="E891" i="2"/>
  <c r="F891" i="2" s="1"/>
  <c r="F898" i="2"/>
  <c r="E906" i="2"/>
  <c r="F906" i="2" s="1"/>
  <c r="F922" i="2"/>
  <c r="F935" i="2"/>
  <c r="F962" i="2"/>
  <c r="F988" i="2"/>
  <c r="F1003" i="2"/>
  <c r="F425" i="2"/>
  <c r="F443" i="2"/>
  <c r="F461" i="2"/>
  <c r="F478" i="2"/>
  <c r="G118" i="2"/>
  <c r="I124" i="2"/>
  <c r="I132" i="2"/>
  <c r="G142" i="2"/>
  <c r="I148" i="2"/>
  <c r="G158" i="2"/>
  <c r="I164" i="2"/>
  <c r="G166" i="2"/>
  <c r="I172" i="2"/>
  <c r="G174" i="2"/>
  <c r="I180" i="2"/>
  <c r="G182" i="2"/>
  <c r="G202" i="2"/>
  <c r="G218" i="2"/>
  <c r="H218" i="2" s="1"/>
  <c r="G229" i="2"/>
  <c r="G259" i="2"/>
  <c r="G347" i="2"/>
  <c r="G363" i="2"/>
  <c r="F393" i="2"/>
  <c r="F411" i="2"/>
  <c r="F430" i="2"/>
  <c r="F448" i="2"/>
  <c r="F465" i="2"/>
  <c r="F489" i="2"/>
  <c r="F506" i="2"/>
  <c r="F515" i="2"/>
  <c r="E862" i="2"/>
  <c r="F862" i="2" s="1"/>
  <c r="E510" i="2"/>
  <c r="F510" i="2" s="1"/>
  <c r="G216" i="2"/>
  <c r="F215" i="2"/>
  <c r="G215" i="2" s="1"/>
  <c r="F214" i="2"/>
  <c r="G214" i="2" s="1"/>
  <c r="I211" i="2"/>
  <c r="J210" i="2"/>
  <c r="F238" i="2"/>
  <c r="G238" i="2" s="1"/>
  <c r="G212" i="2"/>
  <c r="G211" i="2"/>
  <c r="F210" i="2"/>
  <c r="G210" i="2" s="1"/>
  <c r="J96" i="2"/>
  <c r="BI96" i="2"/>
  <c r="I96" i="2"/>
  <c r="G96" i="2"/>
  <c r="E1158" i="2"/>
  <c r="F1158" i="2" s="1"/>
  <c r="E1169" i="2"/>
  <c r="F1169" i="2" s="1"/>
  <c r="E1179" i="2"/>
  <c r="F1179" i="2" s="1"/>
  <c r="E1189" i="2"/>
  <c r="F1189" i="2" s="1"/>
  <c r="E1199" i="2"/>
  <c r="F1199" i="2" s="1"/>
  <c r="E1221" i="2"/>
  <c r="F1221" i="2" s="1"/>
  <c r="E1231" i="2"/>
  <c r="F1231" i="2" s="1"/>
  <c r="E1240" i="2"/>
  <c r="F1240" i="2" s="1"/>
  <c r="E1248" i="2"/>
  <c r="F1248" i="2" s="1"/>
  <c r="E1258" i="2"/>
  <c r="F1258" i="2" s="1"/>
  <c r="E1267" i="2"/>
  <c r="F1267" i="2" s="1"/>
  <c r="E1275" i="2"/>
  <c r="F1275" i="2" s="1"/>
  <c r="E1285" i="2"/>
  <c r="F1285" i="2" s="1"/>
  <c r="E1295" i="2"/>
  <c r="F1295" i="2" s="1"/>
  <c r="E1303" i="2"/>
  <c r="F1303" i="2" s="1"/>
  <c r="E1314" i="2"/>
  <c r="F1314" i="2" s="1"/>
  <c r="E1324" i="2"/>
  <c r="F1324" i="2" s="1"/>
  <c r="E1333" i="2"/>
  <c r="F1333" i="2" s="1"/>
  <c r="E1343" i="2"/>
  <c r="F1343" i="2" s="1"/>
  <c r="E1359" i="2"/>
  <c r="F1359" i="2" s="1"/>
  <c r="E1386" i="2"/>
  <c r="F1386" i="2" s="1"/>
  <c r="J105" i="2"/>
  <c r="J167" i="2"/>
  <c r="J183" i="2"/>
  <c r="J209" i="2"/>
  <c r="J97" i="2"/>
  <c r="J100" i="2"/>
  <c r="I101" i="2"/>
  <c r="J108" i="2"/>
  <c r="I109" i="2"/>
  <c r="J112" i="2"/>
  <c r="I115" i="2"/>
  <c r="J122" i="2"/>
  <c r="I123" i="2"/>
  <c r="J130" i="2"/>
  <c r="I131" i="2"/>
  <c r="J138" i="2"/>
  <c r="I139" i="2"/>
  <c r="J142" i="2"/>
  <c r="I143" i="2"/>
  <c r="J146" i="2"/>
  <c r="I147" i="2"/>
  <c r="J150" i="2"/>
  <c r="I151" i="2"/>
  <c r="J158" i="2"/>
  <c r="I159" i="2"/>
  <c r="J166" i="2"/>
  <c r="I167" i="2"/>
  <c r="J170" i="2"/>
  <c r="I171" i="2"/>
  <c r="J178" i="2"/>
  <c r="I179" i="2"/>
  <c r="J103" i="2"/>
  <c r="J107" i="2"/>
  <c r="I112" i="2"/>
  <c r="J117" i="2"/>
  <c r="J121" i="2"/>
  <c r="J125" i="2"/>
  <c r="J129" i="2"/>
  <c r="J133" i="2"/>
  <c r="J137" i="2"/>
  <c r="J141" i="2"/>
  <c r="J145" i="2"/>
  <c r="J149" i="2"/>
  <c r="G151" i="2"/>
  <c r="G155" i="2"/>
  <c r="J161" i="2"/>
  <c r="J165" i="2"/>
  <c r="J169" i="2"/>
  <c r="I174" i="2"/>
  <c r="G175" i="2"/>
  <c r="I178" i="2"/>
  <c r="J181" i="2"/>
  <c r="I182" i="2"/>
  <c r="G183" i="2"/>
  <c r="G191" i="2"/>
  <c r="G193" i="2"/>
  <c r="G197" i="2"/>
  <c r="G201" i="2"/>
  <c r="G205" i="2"/>
  <c r="G209" i="2"/>
  <c r="J211" i="2"/>
  <c r="G213" i="2"/>
  <c r="G217" i="2"/>
  <c r="G224" i="2"/>
  <c r="G228" i="2"/>
  <c r="G232" i="2"/>
  <c r="G237" i="2"/>
  <c r="G248" i="2"/>
  <c r="E949" i="2"/>
  <c r="F949" i="2" s="1"/>
  <c r="E970" i="2"/>
  <c r="F970" i="2" s="1"/>
  <c r="E972" i="2"/>
  <c r="F972" i="2" s="1"/>
  <c r="E976" i="2"/>
  <c r="F976" i="2" s="1"/>
  <c r="E978" i="2"/>
  <c r="F978" i="2" s="1"/>
  <c r="E982" i="2"/>
  <c r="F982" i="2" s="1"/>
  <c r="E996" i="2"/>
  <c r="F996" i="2" s="1"/>
  <c r="E999" i="2"/>
  <c r="F999" i="2" s="1"/>
  <c r="E1001" i="2"/>
  <c r="F1001" i="2" s="1"/>
  <c r="E1153" i="2"/>
  <c r="F1153" i="2" s="1"/>
  <c r="E1165" i="2"/>
  <c r="F1165" i="2" s="1"/>
  <c r="E1177" i="2"/>
  <c r="F1177" i="2" s="1"/>
  <c r="E1187" i="2"/>
  <c r="F1187" i="2" s="1"/>
  <c r="E1196" i="2"/>
  <c r="F1196" i="2" s="1"/>
  <c r="E1207" i="2"/>
  <c r="F1207" i="2" s="1"/>
  <c r="E1229" i="2"/>
  <c r="F1229" i="2" s="1"/>
  <c r="E1238" i="2"/>
  <c r="F1238" i="2" s="1"/>
  <c r="E1246" i="2"/>
  <c r="F1246" i="2" s="1"/>
  <c r="E1256" i="2"/>
  <c r="F1256" i="2" s="1"/>
  <c r="E1264" i="2"/>
  <c r="F1264" i="2" s="1"/>
  <c r="E1273" i="2"/>
  <c r="F1273" i="2" s="1"/>
  <c r="E1283" i="2"/>
  <c r="F1283" i="2" s="1"/>
  <c r="E1291" i="2"/>
  <c r="F1291" i="2" s="1"/>
  <c r="E1301" i="2"/>
  <c r="F1301" i="2" s="1"/>
  <c r="E1312" i="2"/>
  <c r="F1312" i="2" s="1"/>
  <c r="E1321" i="2"/>
  <c r="F1321" i="2" s="1"/>
  <c r="E1331" i="2"/>
  <c r="F1331" i="2" s="1"/>
  <c r="E1340" i="2"/>
  <c r="F1340" i="2" s="1"/>
  <c r="E1350" i="2"/>
  <c r="F1350" i="2" s="1"/>
  <c r="J101" i="2"/>
  <c r="J109" i="2"/>
  <c r="J113" i="2"/>
  <c r="J115" i="2"/>
  <c r="J119" i="2"/>
  <c r="J123" i="2"/>
  <c r="J127" i="2"/>
  <c r="J131" i="2"/>
  <c r="J135" i="2"/>
  <c r="J139" i="2"/>
  <c r="J143" i="2"/>
  <c r="J147" i="2"/>
  <c r="J151" i="2"/>
  <c r="J155" i="2"/>
  <c r="J159" i="2"/>
  <c r="J163" i="2"/>
  <c r="J171" i="2"/>
  <c r="J175" i="2"/>
  <c r="J179" i="2"/>
  <c r="J104" i="2"/>
  <c r="I105" i="2"/>
  <c r="I113" i="2"/>
  <c r="J118" i="2"/>
  <c r="I119" i="2"/>
  <c r="J126" i="2"/>
  <c r="I127" i="2"/>
  <c r="J134" i="2"/>
  <c r="I135" i="2"/>
  <c r="J154" i="2"/>
  <c r="I155" i="2"/>
  <c r="J162" i="2"/>
  <c r="I163" i="2"/>
  <c r="J174" i="2"/>
  <c r="I175" i="2"/>
  <c r="J182" i="2"/>
  <c r="I183" i="2"/>
  <c r="BI192" i="2"/>
  <c r="I209" i="2"/>
  <c r="I97" i="2"/>
  <c r="J99" i="2"/>
  <c r="I100" i="2"/>
  <c r="G101" i="2"/>
  <c r="I104" i="2"/>
  <c r="G105" i="2"/>
  <c r="I108" i="2"/>
  <c r="G109" i="2"/>
  <c r="J111" i="2"/>
  <c r="G113" i="2"/>
  <c r="G115" i="2"/>
  <c r="I118" i="2"/>
  <c r="G119" i="2"/>
  <c r="I122" i="2"/>
  <c r="G123" i="2"/>
  <c r="I126" i="2"/>
  <c r="G127" i="2"/>
  <c r="I130" i="2"/>
  <c r="G131" i="2"/>
  <c r="I134" i="2"/>
  <c r="G135" i="2"/>
  <c r="I138" i="2"/>
  <c r="G139" i="2"/>
  <c r="I142" i="2"/>
  <c r="G143" i="2"/>
  <c r="I146" i="2"/>
  <c r="G147" i="2"/>
  <c r="I150" i="2"/>
  <c r="J153" i="2"/>
  <c r="I154" i="2"/>
  <c r="J157" i="2"/>
  <c r="I158" i="2"/>
  <c r="G159" i="2"/>
  <c r="I162" i="2"/>
  <c r="G163" i="2"/>
  <c r="I166" i="2"/>
  <c r="G167" i="2"/>
  <c r="I170" i="2"/>
  <c r="G171" i="2"/>
  <c r="J173" i="2"/>
  <c r="J177" i="2"/>
  <c r="G179" i="2"/>
  <c r="BJ308" i="2"/>
  <c r="BJ309" i="2"/>
  <c r="BJ310" i="2"/>
  <c r="BJ325" i="2"/>
  <c r="BJ326" i="2"/>
  <c r="BJ327" i="2"/>
  <c r="BJ328" i="2"/>
  <c r="BJ329" i="2"/>
  <c r="F562" i="2"/>
  <c r="F566" i="2"/>
  <c r="F570" i="2"/>
  <c r="F576" i="2"/>
  <c r="F580" i="2"/>
  <c r="F586" i="2"/>
  <c r="F590" i="2"/>
  <c r="F594" i="2"/>
  <c r="F598" i="2"/>
  <c r="F602" i="2"/>
  <c r="F606" i="2"/>
  <c r="F611" i="2"/>
  <c r="F616" i="2"/>
  <c r="F622" i="2"/>
  <c r="F626" i="2"/>
  <c r="F632" i="2"/>
  <c r="F636" i="2"/>
  <c r="F640" i="2"/>
  <c r="F644" i="2"/>
  <c r="F650" i="2"/>
  <c r="F654" i="2"/>
  <c r="F658" i="2"/>
  <c r="F664" i="2"/>
  <c r="F669" i="2"/>
  <c r="F673" i="2"/>
  <c r="F678" i="2"/>
  <c r="F682" i="2"/>
  <c r="F686" i="2"/>
  <c r="F691" i="2"/>
  <c r="F695" i="2"/>
  <c r="F699" i="2"/>
  <c r="F703" i="2"/>
  <c r="F708" i="2"/>
  <c r="F712" i="2"/>
  <c r="F716" i="2"/>
  <c r="F720" i="2"/>
  <c r="F724" i="2"/>
  <c r="F728" i="2"/>
  <c r="F730" i="2"/>
  <c r="F732" i="2"/>
  <c r="F735" i="2"/>
  <c r="F737" i="2"/>
  <c r="F740" i="2"/>
  <c r="F742" i="2"/>
  <c r="F744" i="2"/>
  <c r="F747" i="2"/>
  <c r="F749" i="2"/>
  <c r="F752" i="2"/>
  <c r="F754" i="2"/>
  <c r="F756" i="2"/>
  <c r="F758" i="2"/>
  <c r="F760" i="2"/>
  <c r="F762" i="2"/>
  <c r="F764" i="2"/>
  <c r="F766" i="2"/>
  <c r="F768" i="2"/>
  <c r="F770" i="2"/>
  <c r="F772" i="2"/>
  <c r="F774" i="2"/>
  <c r="F776" i="2"/>
  <c r="F778" i="2"/>
  <c r="F780" i="2"/>
  <c r="F782" i="2"/>
  <c r="F785" i="2"/>
  <c r="F787" i="2"/>
  <c r="F789" i="2"/>
  <c r="F791" i="2"/>
  <c r="F793" i="2"/>
  <c r="F795" i="2"/>
  <c r="F798" i="2"/>
  <c r="F800" i="2"/>
  <c r="F802" i="2"/>
  <c r="F804" i="2"/>
  <c r="F806" i="2"/>
  <c r="F809" i="2"/>
  <c r="F812" i="2"/>
  <c r="F814" i="2"/>
  <c r="F817" i="2"/>
  <c r="F822" i="2"/>
  <c r="F825" i="2"/>
  <c r="F828" i="2"/>
  <c r="F831" i="2"/>
  <c r="F835" i="2"/>
  <c r="F838" i="2"/>
  <c r="F841" i="2"/>
  <c r="F844" i="2"/>
  <c r="F848" i="2"/>
  <c r="F855" i="2"/>
  <c r="F859" i="2"/>
  <c r="F908" i="2"/>
  <c r="F927" i="2"/>
  <c r="F932" i="2"/>
  <c r="F936" i="2"/>
  <c r="F971" i="2"/>
  <c r="E938" i="2"/>
  <c r="F938" i="2" s="1"/>
  <c r="E941" i="2"/>
  <c r="F941" i="2" s="1"/>
  <c r="E953" i="2"/>
  <c r="F953" i="2" s="1"/>
  <c r="E974" i="2"/>
  <c r="F974" i="2" s="1"/>
  <c r="E977" i="2"/>
  <c r="F977" i="2" s="1"/>
  <c r="E986" i="2"/>
  <c r="F986" i="2" s="1"/>
  <c r="E993" i="2"/>
  <c r="F993" i="2" s="1"/>
  <c r="E1000" i="2"/>
  <c r="F1000" i="2" s="1"/>
  <c r="E1126" i="2"/>
  <c r="F1126" i="2" s="1"/>
  <c r="E1151" i="2"/>
  <c r="F1151" i="2" s="1"/>
  <c r="E1163" i="2"/>
  <c r="F1163" i="2" s="1"/>
  <c r="E1174" i="2"/>
  <c r="F1174" i="2" s="1"/>
  <c r="E1185" i="2"/>
  <c r="F1185" i="2" s="1"/>
  <c r="E1193" i="2"/>
  <c r="F1193" i="2" s="1"/>
  <c r="E1205" i="2"/>
  <c r="F1205" i="2" s="1"/>
  <c r="E1227" i="2"/>
  <c r="F1227" i="2" s="1"/>
  <c r="E1235" i="2"/>
  <c r="F1235" i="2" s="1"/>
  <c r="E1244" i="2"/>
  <c r="F1244" i="2" s="1"/>
  <c r="E1254" i="2"/>
  <c r="F1254" i="2" s="1"/>
  <c r="E1262" i="2"/>
  <c r="F1262" i="2" s="1"/>
  <c r="E1271" i="2"/>
  <c r="F1271" i="2" s="1"/>
  <c r="E1280" i="2"/>
  <c r="F1280" i="2" s="1"/>
  <c r="E1289" i="2"/>
  <c r="F1289" i="2" s="1"/>
  <c r="E1299" i="2"/>
  <c r="F1299" i="2" s="1"/>
  <c r="E1308" i="2"/>
  <c r="F1308" i="2" s="1"/>
  <c r="E1318" i="2"/>
  <c r="F1318" i="2" s="1"/>
  <c r="E1328" i="2"/>
  <c r="F1328" i="2" s="1"/>
  <c r="E1338" i="2"/>
  <c r="F1338" i="2" s="1"/>
  <c r="E1347" i="2"/>
  <c r="F1347" i="2" s="1"/>
  <c r="E1358" i="2"/>
  <c r="F1358" i="2" s="1"/>
  <c r="E1372" i="2"/>
  <c r="F1372" i="2" s="1"/>
  <c r="E1408" i="2"/>
  <c r="F1408" i="2" s="1"/>
  <c r="G299" i="2"/>
  <c r="G301" i="2"/>
  <c r="G306" i="2"/>
  <c r="G308" i="2"/>
  <c r="G309" i="2"/>
  <c r="G310" i="2"/>
  <c r="G311" i="2"/>
  <c r="G313" i="2"/>
  <c r="G315" i="2"/>
  <c r="G317" i="2"/>
  <c r="G319" i="2"/>
  <c r="G321" i="2"/>
  <c r="G323" i="2"/>
  <c r="G325" i="2"/>
  <c r="G326" i="2"/>
  <c r="G327" i="2"/>
  <c r="G328" i="2"/>
  <c r="G329" i="2"/>
  <c r="F337" i="2"/>
  <c r="F341" i="2"/>
  <c r="G350" i="2"/>
  <c r="G354" i="2"/>
  <c r="G358" i="2"/>
  <c r="G362" i="2"/>
  <c r="G366" i="2"/>
  <c r="F374" i="2"/>
  <c r="F387" i="2"/>
  <c r="F392" i="2"/>
  <c r="F396" i="2"/>
  <c r="F401" i="2"/>
  <c r="F405" i="2"/>
  <c r="F410" i="2"/>
  <c r="F414" i="2"/>
  <c r="F420" i="2"/>
  <c r="F424" i="2"/>
  <c r="F428" i="2"/>
  <c r="F434" i="2"/>
  <c r="F438" i="2"/>
  <c r="F442" i="2"/>
  <c r="F446" i="2"/>
  <c r="F451" i="2"/>
  <c r="F456" i="2"/>
  <c r="E459" i="2"/>
  <c r="F459" i="2" s="1"/>
  <c r="F460" i="2"/>
  <c r="F464" i="2"/>
  <c r="F469" i="2"/>
  <c r="F473" i="2"/>
  <c r="F477" i="2"/>
  <c r="F488" i="2"/>
  <c r="F492" i="2"/>
  <c r="F497" i="2"/>
  <c r="F501" i="2"/>
  <c r="F505" i="2"/>
  <c r="F509" i="2"/>
  <c r="F514" i="2"/>
  <c r="F518" i="2"/>
  <c r="F522" i="2"/>
  <c r="F526" i="2"/>
  <c r="F531" i="2"/>
  <c r="F532" i="2"/>
  <c r="F549" i="2"/>
  <c r="F550" i="2"/>
  <c r="F558" i="2"/>
  <c r="F559" i="2"/>
  <c r="F561" i="2"/>
  <c r="F563" i="2"/>
  <c r="F565" i="2"/>
  <c r="F567" i="2"/>
  <c r="F569" i="2"/>
  <c r="F571" i="2"/>
  <c r="F574" i="2"/>
  <c r="F577" i="2"/>
  <c r="F579" i="2"/>
  <c r="F583" i="2"/>
  <c r="F585" i="2"/>
  <c r="F587" i="2"/>
  <c r="F589" i="2"/>
  <c r="F591" i="2"/>
  <c r="F593" i="2"/>
  <c r="F595" i="2"/>
  <c r="F597" i="2"/>
  <c r="F599" i="2"/>
  <c r="F601" i="2"/>
  <c r="F603" i="2"/>
  <c r="F605" i="2"/>
  <c r="F607" i="2"/>
  <c r="F610" i="2"/>
  <c r="F612" i="2"/>
  <c r="F615" i="2"/>
  <c r="F617" i="2"/>
  <c r="F621" i="2"/>
  <c r="F623" i="2"/>
  <c r="F625" i="2"/>
  <c r="F628" i="2"/>
  <c r="F631" i="2"/>
  <c r="F633" i="2"/>
  <c r="F635" i="2"/>
  <c r="F637" i="2"/>
  <c r="F639" i="2"/>
  <c r="F641" i="2"/>
  <c r="F643" i="2"/>
  <c r="F646" i="2"/>
  <c r="F649" i="2"/>
  <c r="F651" i="2"/>
  <c r="F653" i="2"/>
  <c r="F655" i="2"/>
  <c r="F657" i="2"/>
  <c r="F659" i="2"/>
  <c r="F663" i="2"/>
  <c r="F666" i="2"/>
  <c r="F668" i="2"/>
  <c r="F670" i="2"/>
  <c r="F672" i="2"/>
  <c r="F674" i="2"/>
  <c r="F677" i="2"/>
  <c r="F679" i="2"/>
  <c r="F681" i="2"/>
  <c r="F683" i="2"/>
  <c r="F685" i="2"/>
  <c r="F687" i="2"/>
  <c r="F689" i="2"/>
  <c r="F692" i="2"/>
  <c r="F694" i="2"/>
  <c r="F696" i="2"/>
  <c r="F698" i="2"/>
  <c r="F700" i="2"/>
  <c r="F702" i="2"/>
  <c r="F705" i="2"/>
  <c r="F707" i="2"/>
  <c r="F709" i="2"/>
  <c r="F711" i="2"/>
  <c r="F713" i="2"/>
  <c r="F715" i="2"/>
  <c r="F717" i="2"/>
  <c r="F719" i="2"/>
  <c r="F721" i="2"/>
  <c r="F723" i="2"/>
  <c r="F725" i="2"/>
  <c r="F727" i="2"/>
  <c r="F729" i="2"/>
  <c r="F731" i="2"/>
  <c r="F734" i="2"/>
  <c r="F736" i="2"/>
  <c r="F738" i="2"/>
  <c r="F741" i="2"/>
  <c r="F743" i="2"/>
  <c r="F745" i="2"/>
  <c r="F748" i="2"/>
  <c r="F750" i="2"/>
  <c r="F753" i="2"/>
  <c r="F755" i="2"/>
  <c r="F757" i="2"/>
  <c r="F759" i="2"/>
  <c r="F761" i="2"/>
  <c r="F763" i="2"/>
  <c r="F765" i="2"/>
  <c r="F767" i="2"/>
  <c r="F769" i="2"/>
  <c r="F771" i="2"/>
  <c r="F773" i="2"/>
  <c r="F775" i="2"/>
  <c r="F777" i="2"/>
  <c r="F779" i="2"/>
  <c r="F781" i="2"/>
  <c r="F783" i="2"/>
  <c r="F786" i="2"/>
  <c r="F788" i="2"/>
  <c r="F790" i="2"/>
  <c r="F792" i="2"/>
  <c r="F794" i="2"/>
  <c r="F796" i="2"/>
  <c r="F799" i="2"/>
  <c r="F801" i="2"/>
  <c r="F803" i="2"/>
  <c r="F805" i="2"/>
  <c r="F808" i="2"/>
  <c r="F810" i="2"/>
  <c r="F813" i="2"/>
  <c r="F816" i="2"/>
  <c r="F818" i="2"/>
  <c r="F824" i="2"/>
  <c r="F827" i="2"/>
  <c r="F830" i="2"/>
  <c r="F833" i="2"/>
  <c r="F836" i="2"/>
  <c r="F840" i="2"/>
  <c r="F843" i="2"/>
  <c r="F846" i="2"/>
  <c r="F850" i="2"/>
  <c r="F854" i="2"/>
  <c r="F856" i="2"/>
  <c r="F858" i="2"/>
  <c r="F860" i="2"/>
  <c r="F882" i="2"/>
  <c r="F885" i="2"/>
  <c r="F887" i="2"/>
  <c r="F890" i="2"/>
  <c r="F893" i="2"/>
  <c r="F896" i="2"/>
  <c r="F900" i="2"/>
  <c r="F905" i="2"/>
  <c r="F907" i="2"/>
  <c r="F910" i="2"/>
  <c r="F912" i="2"/>
  <c r="F915" i="2"/>
  <c r="F920" i="2"/>
  <c r="F924" i="2"/>
  <c r="F931" i="2"/>
  <c r="F933" i="2"/>
  <c r="F937" i="2"/>
  <c r="E942" i="2"/>
  <c r="F942" i="2" s="1"/>
  <c r="E952" i="2"/>
  <c r="F952" i="2" s="1"/>
  <c r="E968" i="2"/>
  <c r="F968" i="2" s="1"/>
  <c r="E991" i="2"/>
  <c r="F991" i="2" s="1"/>
  <c r="E1148" i="2"/>
  <c r="F1148" i="2" s="1"/>
  <c r="E1160" i="2"/>
  <c r="F1160" i="2" s="1"/>
  <c r="E1171" i="2"/>
  <c r="F1171" i="2" s="1"/>
  <c r="E1182" i="2"/>
  <c r="F1182" i="2" s="1"/>
  <c r="E1191" i="2"/>
  <c r="F1191" i="2" s="1"/>
  <c r="E1202" i="2"/>
  <c r="F1202" i="2" s="1"/>
  <c r="E1224" i="2"/>
  <c r="F1224" i="2" s="1"/>
  <c r="E1233" i="2"/>
  <c r="F1233" i="2" s="1"/>
  <c r="E1242" i="2"/>
  <c r="F1242" i="2" s="1"/>
  <c r="E1251" i="2"/>
  <c r="F1251" i="2" s="1"/>
  <c r="E1260" i="2"/>
  <c r="F1260" i="2" s="1"/>
  <c r="E1269" i="2"/>
  <c r="F1269" i="2" s="1"/>
  <c r="E1277" i="2"/>
  <c r="F1277" i="2" s="1"/>
  <c r="E1287" i="2"/>
  <c r="F1287" i="2" s="1"/>
  <c r="E1297" i="2"/>
  <c r="F1297" i="2" s="1"/>
  <c r="E1306" i="2"/>
  <c r="F1306" i="2" s="1"/>
  <c r="E1316" i="2"/>
  <c r="F1316" i="2" s="1"/>
  <c r="E1326" i="2"/>
  <c r="F1326" i="2" s="1"/>
  <c r="E1336" i="2"/>
  <c r="F1336" i="2" s="1"/>
  <c r="E1345" i="2"/>
  <c r="F1345" i="2" s="1"/>
  <c r="E1375" i="2"/>
  <c r="F1375" i="2" s="1"/>
  <c r="E1377" i="2"/>
  <c r="F1377" i="2" s="1"/>
  <c r="F1479" i="2"/>
  <c r="G1479" i="2" s="1"/>
  <c r="F530" i="2"/>
  <c r="E535" i="2"/>
  <c r="F535" i="2" s="1"/>
  <c r="F538" i="2"/>
  <c r="E553" i="2"/>
  <c r="F553" i="2" s="1"/>
  <c r="F557" i="2"/>
  <c r="F899" i="2"/>
  <c r="F919" i="2"/>
  <c r="F925" i="2"/>
  <c r="F930" i="2"/>
  <c r="F950" i="2"/>
  <c r="F979" i="2"/>
  <c r="F990" i="2"/>
  <c r="E1125" i="2"/>
  <c r="F1125" i="2" s="1"/>
  <c r="E1364" i="2"/>
  <c r="F1364" i="2" s="1"/>
  <c r="E1401" i="2"/>
  <c r="F1401" i="2" s="1"/>
  <c r="E1404" i="2"/>
  <c r="F1404" i="2" s="1"/>
  <c r="E1406" i="2"/>
  <c r="F1406" i="2" s="1"/>
  <c r="F959" i="2"/>
  <c r="F985" i="2"/>
  <c r="F1150" i="2"/>
  <c r="F1157" i="2"/>
  <c r="F1161" i="2"/>
  <c r="F1166" i="2"/>
  <c r="F1173" i="2"/>
  <c r="F1178" i="2"/>
  <c r="F1183" i="2"/>
  <c r="F1188" i="2"/>
  <c r="F1192" i="2"/>
  <c r="F1198" i="2"/>
  <c r="F1203" i="2"/>
  <c r="F1220" i="2"/>
  <c r="F1225" i="2"/>
  <c r="F1230" i="2"/>
  <c r="F1234" i="2"/>
  <c r="F1239" i="2"/>
  <c r="F1243" i="2"/>
  <c r="F1247" i="2"/>
  <c r="F1252" i="2"/>
  <c r="F1257" i="2"/>
  <c r="F1261" i="2"/>
  <c r="F1265" i="2"/>
  <c r="F1270" i="2"/>
  <c r="F1274" i="2"/>
  <c r="F1278" i="2"/>
  <c r="F1284" i="2"/>
  <c r="F1288" i="2"/>
  <c r="F1294" i="2"/>
  <c r="F1298" i="2"/>
  <c r="F1302" i="2"/>
  <c r="F1307" i="2"/>
  <c r="F1313" i="2"/>
  <c r="F1317" i="2"/>
  <c r="F1322" i="2"/>
  <c r="F1327" i="2"/>
  <c r="F1332" i="2"/>
  <c r="F1337" i="2"/>
  <c r="F1342" i="2"/>
  <c r="F1346" i="2"/>
  <c r="F1361" i="2"/>
  <c r="F1376" i="2"/>
  <c r="F1388" i="2"/>
  <c r="E1370" i="2"/>
  <c r="F1370" i="2" s="1"/>
  <c r="E1400" i="2"/>
  <c r="F1400" i="2" s="1"/>
  <c r="E1403" i="2"/>
  <c r="F1403" i="2" s="1"/>
  <c r="E1405" i="2"/>
  <c r="F1405" i="2" s="1"/>
  <c r="E1407" i="2"/>
  <c r="F1407" i="2" s="1"/>
  <c r="F945" i="2"/>
  <c r="F955" i="2"/>
  <c r="F963" i="2"/>
  <c r="F980" i="2"/>
  <c r="F987" i="2"/>
  <c r="F1002" i="2"/>
  <c r="F1105" i="2"/>
  <c r="F1147" i="2"/>
  <c r="F1152" i="2"/>
  <c r="F1159" i="2"/>
  <c r="F1164" i="2"/>
  <c r="F1170" i="2"/>
  <c r="F1175" i="2"/>
  <c r="F1181" i="2"/>
  <c r="F1186" i="2"/>
  <c r="F1190" i="2"/>
  <c r="F1195" i="2"/>
  <c r="F1201" i="2"/>
  <c r="F1206" i="2"/>
  <c r="F1222" i="2"/>
  <c r="F1228" i="2"/>
  <c r="F1232" i="2"/>
  <c r="F1236" i="2"/>
  <c r="F1241" i="2"/>
  <c r="F1245" i="2"/>
  <c r="F1249" i="2"/>
  <c r="F1255" i="2"/>
  <c r="F1259" i="2"/>
  <c r="F1263" i="2"/>
  <c r="F1268" i="2"/>
  <c r="F1272" i="2"/>
  <c r="F1276" i="2"/>
  <c r="F1281" i="2"/>
  <c r="F1286" i="2"/>
  <c r="F1290" i="2"/>
  <c r="F1296" i="2"/>
  <c r="F1300" i="2"/>
  <c r="F1304" i="2"/>
  <c r="F1311" i="2"/>
  <c r="F1315" i="2"/>
  <c r="F1320" i="2"/>
  <c r="F1325" i="2"/>
  <c r="F1329" i="2"/>
  <c r="F1334" i="2"/>
  <c r="F1339" i="2"/>
  <c r="F1344" i="2"/>
  <c r="F1348" i="2"/>
</calcChain>
</file>

<file path=xl/sharedStrings.xml><?xml version="1.0" encoding="utf-8"?>
<sst xmlns="http://schemas.openxmlformats.org/spreadsheetml/2006/main" count="3703" uniqueCount="1877">
  <si>
    <t xml:space="preserve">Тарифы </t>
  </si>
  <si>
    <t xml:space="preserve">на оказание услуг (выполнение работ) федеральным государственным бюджетным учреждением                                                                                                                                                                             «Оренбургский референтный центр Россельхознадзора» на возмездной основе </t>
  </si>
  <si>
    <t>I.   Анализ семян</t>
  </si>
  <si>
    <t>№                             п/п</t>
  </si>
  <si>
    <t>Наименование культуры</t>
  </si>
  <si>
    <t>Наименование исследований</t>
  </si>
  <si>
    <t>Единица измерения</t>
  </si>
  <si>
    <t>Стоимость услуг                                         (без НДС),                                (руб.)</t>
  </si>
  <si>
    <t>НДС 20% (руб.)</t>
  </si>
  <si>
    <t>Стоимость услуг                                         (с НДС),                                (руб.)</t>
  </si>
  <si>
    <t>проверка</t>
  </si>
  <si>
    <t>1.</t>
  </si>
  <si>
    <t>Пшеница, рожь, тритикале, кукуруза</t>
  </si>
  <si>
    <t>полный</t>
  </si>
  <si>
    <t>проба (контрольная единица)</t>
  </si>
  <si>
    <t xml:space="preserve">всхожесть </t>
  </si>
  <si>
    <t>проба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</si>
  <si>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</si>
  <si>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влажность                                           (воздушно-тепловой метод)</t>
  </si>
  <si>
    <t>чистота                              (гравиметрический (весовой) и визуальный методы)</t>
  </si>
  <si>
    <t>жизнеспособность                                                                       (тетразольно-топографический метод)</t>
  </si>
  <si>
    <t xml:space="preserve"> </t>
  </si>
  <si>
    <t>масса 1000 семян                                                                    (гравиметрический (весовой) метод)</t>
  </si>
  <si>
    <t>2.</t>
  </si>
  <si>
    <t>Ячмень, овес</t>
  </si>
  <si>
    <t>всхожесть</t>
  </si>
  <si>
    <t>3.</t>
  </si>
  <si>
    <t>Просо, гречиха, сорго, сорго-суданковый гибрид, суданская трава, конопля, сафлор</t>
  </si>
  <si>
    <t>4.</t>
  </si>
  <si>
    <t>Горох, нут, фасоль, чина, бобы, люпин</t>
  </si>
  <si>
    <t>5.</t>
  </si>
  <si>
    <t>Вика, чечевица, маш</t>
  </si>
  <si>
    <t>6.</t>
  </si>
  <si>
    <t>Подсолнечник, клещевина</t>
  </si>
  <si>
    <t>7.</t>
  </si>
  <si>
    <t>Лен масличный, лен-долгунец, кориандр</t>
  </si>
  <si>
    <t>8.</t>
  </si>
  <si>
    <t>Соя</t>
  </si>
  <si>
    <t>9.</t>
  </si>
  <si>
    <t>Свекла сахарная</t>
  </si>
  <si>
    <t>всхожесть и одноростковость</t>
  </si>
  <si>
    <t>10.</t>
  </si>
  <si>
    <t>Свекла кормовая, столовая</t>
  </si>
  <si>
    <t>11.</t>
  </si>
  <si>
    <t>Донник, люцерна, клевер, галега восточная</t>
  </si>
  <si>
    <t>12.</t>
  </si>
  <si>
    <t>Эспарцет</t>
  </si>
  <si>
    <t>13.</t>
  </si>
  <si>
    <t>Цветочные с  массой навески до 10 гр.</t>
  </si>
  <si>
    <t>14.</t>
  </si>
  <si>
    <t>Злаковые кормовые травы с массой навески  до 10 г; медоносные травы; лекарственные и ароматические культуры</t>
  </si>
  <si>
    <t>15.</t>
  </si>
  <si>
    <t>Культуры с массой навески  до 1 г</t>
  </si>
  <si>
    <t>16.</t>
  </si>
  <si>
    <t>Рапс, горчица, сурепица, рыжик, семена овощных культур с массой навески до 10 г</t>
  </si>
  <si>
    <t>17.</t>
  </si>
  <si>
    <t>Тыква, арбуз, дыня, кабачки, патиссоны</t>
  </si>
  <si>
    <t>18.</t>
  </si>
  <si>
    <t>Артишок, катран, спаржа, бамия, огурцы, шпинат</t>
  </si>
  <si>
    <t>19.</t>
  </si>
  <si>
    <t>Зерносмеси</t>
  </si>
  <si>
    <t>20.</t>
  </si>
  <si>
    <t>Травосмеси</t>
  </si>
  <si>
    <t>21.</t>
  </si>
  <si>
    <t>Прочие культуры</t>
  </si>
  <si>
    <t>22.</t>
  </si>
  <si>
    <t>Лук-севок, лук-выборок, чеснок</t>
  </si>
  <si>
    <t>полный                                                                  (визуальный метод)</t>
  </si>
  <si>
    <t>23.</t>
  </si>
  <si>
    <t>Картофель до 15 тонн</t>
  </si>
  <si>
    <t>24.</t>
  </si>
  <si>
    <t>Картофель 15,1 – 30,0</t>
  </si>
  <si>
    <t>25.</t>
  </si>
  <si>
    <t>Картофель 30,1 – 70,0</t>
  </si>
  <si>
    <t>26.</t>
  </si>
  <si>
    <t>Картофель 70,1 – 130,0</t>
  </si>
  <si>
    <t>27.</t>
  </si>
  <si>
    <t>Картофель 130,1 – 210,0</t>
  </si>
  <si>
    <t>28.</t>
  </si>
  <si>
    <t>Картофель 210,1 – 290,0</t>
  </si>
  <si>
    <t>29.</t>
  </si>
  <si>
    <t>Картофель 290,1 – 430,0</t>
  </si>
  <si>
    <t>30.</t>
  </si>
  <si>
    <t>Картофель 430,1 – 510,0</t>
  </si>
  <si>
    <t>31.</t>
  </si>
  <si>
    <t>Сельскохозяйственные культуры</t>
  </si>
  <si>
    <t>заселенность семян  вредителями                      (визуальный метод)</t>
  </si>
  <si>
    <t>32.</t>
  </si>
  <si>
    <t>33.</t>
  </si>
  <si>
    <t>Отбор проб от партии семян, упакованных в мешки, массой более 10 кг: количество мешков в партии, шт. до:</t>
  </si>
  <si>
    <t>33.1.</t>
  </si>
  <si>
    <t>контрольная единица</t>
  </si>
  <si>
    <t>33.2.</t>
  </si>
  <si>
    <t>33.3.</t>
  </si>
  <si>
    <t>33.4.</t>
  </si>
  <si>
    <t>33.5.</t>
  </si>
  <si>
    <t>33.6.</t>
  </si>
  <si>
    <t>33.7.</t>
  </si>
  <si>
    <t>33.8.</t>
  </si>
  <si>
    <t>33.9.</t>
  </si>
  <si>
    <t>33.10.</t>
  </si>
  <si>
    <t>33.11.</t>
  </si>
  <si>
    <t>более 1000</t>
  </si>
  <si>
    <t>34.</t>
  </si>
  <si>
    <t>Отбор проб от партии семян, упакованных в мешки или пакеты, массой до 10 кг</t>
  </si>
  <si>
    <t>35.</t>
  </si>
  <si>
    <t>Отбор проб от насыпи семян с массой партии в центнерах:</t>
  </si>
  <si>
    <t>35.1.</t>
  </si>
  <si>
    <t>до 250</t>
  </si>
  <si>
    <t>35.2.</t>
  </si>
  <si>
    <t>более 250</t>
  </si>
  <si>
    <t>36.</t>
  </si>
  <si>
    <t>Отбор проб посадочного материала</t>
  </si>
  <si>
    <t>партия</t>
  </si>
  <si>
    <t>37.</t>
  </si>
  <si>
    <t>Оформление протокола испытаний</t>
  </si>
  <si>
    <t>1 экз.</t>
  </si>
  <si>
    <r>
      <t xml:space="preserve">* Стоимость анализа  протравленных семян увеличивается в 1,7 раза.   </t>
    </r>
    <r>
      <rPr>
        <b/>
        <sz val="11"/>
        <color indexed="10"/>
        <rFont val="Times New Roman"/>
        <family val="1"/>
        <charset val="204"/>
      </rPr>
      <t xml:space="preserve">   </t>
    </r>
    <r>
      <rPr>
        <b/>
        <sz val="1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</t>
    </r>
  </si>
  <si>
    <r>
      <t xml:space="preserve">* Стоимость анализа  протравленных семян увеличивается в 1,7 раза.   </t>
    </r>
    <r>
      <rPr>
        <b/>
        <sz val="11"/>
        <color indexed="10"/>
        <rFont val="Times New Roman"/>
        <family val="1"/>
        <charset val="204"/>
      </rPr>
      <t xml:space="preserve">   </t>
    </r>
    <r>
      <rPr>
        <b/>
        <sz val="1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* При расчете стоимости анализа семян на зараженность болезнями биологическим методом в п.32 раздел 1 "Анализ семян" для   постоянных клиентов цена договорная.</t>
    </r>
  </si>
  <si>
    <t xml:space="preserve">2. Определение качества посадочного материала </t>
  </si>
  <si>
    <t>№                   п/п</t>
  </si>
  <si>
    <t>Вид работы</t>
  </si>
  <si>
    <t>Ед. измерения</t>
  </si>
  <si>
    <t>Посадочный материал плодовых, ягодных культур и винограда</t>
  </si>
  <si>
    <t>семена</t>
  </si>
  <si>
    <t>Рассада земляники</t>
  </si>
  <si>
    <t>Посадочный материал цветочных культур</t>
  </si>
  <si>
    <t>Посадочный материал деревьев и кустарников</t>
  </si>
  <si>
    <t xml:space="preserve">При размере партии посадочного материала менее 50 штук стоимость исследования снижается на 50%                                                                    </t>
  </si>
  <si>
    <t>добавлено</t>
  </si>
  <si>
    <t>3. Апробация посадочного материала</t>
  </si>
  <si>
    <t>№                              п/п</t>
  </si>
  <si>
    <t>Саженцы  семечковых и косточковых культур</t>
  </si>
  <si>
    <t xml:space="preserve"> 0,1 га и менее</t>
  </si>
  <si>
    <t>Саженцы  ягодных культур</t>
  </si>
  <si>
    <t>0,1 га и менее</t>
  </si>
  <si>
    <t>Маточники клоновых подвоев плодовых культур</t>
  </si>
  <si>
    <t>Маточно-черенковые насаждения семечковых и косточковых культур</t>
  </si>
  <si>
    <t xml:space="preserve">  0,1 га и менее</t>
  </si>
  <si>
    <t>Маточные насаждения  ягодных культур</t>
  </si>
  <si>
    <t>Виноградная школка</t>
  </si>
  <si>
    <t>Цветочные и  декоративные культуры</t>
  </si>
  <si>
    <t>0,5 га и менее</t>
  </si>
  <si>
    <t xml:space="preserve">  4. Апробация сортовых посевов</t>
  </si>
  <si>
    <t>Площадь апробированного участка</t>
  </si>
  <si>
    <t>НДС 20%,   (руб)</t>
  </si>
  <si>
    <t>Озимая и яровая пшеница и ячмень, тритикале                                                                     - репродукционные посевы</t>
  </si>
  <si>
    <t>до 20 га</t>
  </si>
  <si>
    <t>поле</t>
  </si>
  <si>
    <t>от 21 до 60 га</t>
  </si>
  <si>
    <t>от 61 до 200 га</t>
  </si>
  <si>
    <t>от 201 до 450 га</t>
  </si>
  <si>
    <t>Озимая и яровая пшеница и ячмень                                                                          -элитные посевы</t>
  </si>
  <si>
    <t xml:space="preserve">от 21 до 60 га </t>
  </si>
  <si>
    <t>Овес - репродукционные посевы</t>
  </si>
  <si>
    <t>Овес - элитные посевы</t>
  </si>
  <si>
    <t>Озимая рожь                                                 - репродукционные посевы</t>
  </si>
  <si>
    <t>от 21 до 80 га</t>
  </si>
  <si>
    <t>от 81 до 200 га</t>
  </si>
  <si>
    <t>Озимая рожь - элитные посевы</t>
  </si>
  <si>
    <t>до 50 га</t>
  </si>
  <si>
    <t>от 51 до 200 га</t>
  </si>
  <si>
    <t>Просо, гречиха -  репродукционные посевы</t>
  </si>
  <si>
    <t>от 21 до 100 га</t>
  </si>
  <si>
    <t>от 101 до 200 га</t>
  </si>
  <si>
    <t>от 201 до 350 га</t>
  </si>
  <si>
    <t>Просо, гречиха -  элитные посевы</t>
  </si>
  <si>
    <t>Вика, однолетние и многолетние травы                                                          -  репродукционные посевы</t>
  </si>
  <si>
    <t>от 21 до 50 га</t>
  </si>
  <si>
    <t>от 51  до 100 га</t>
  </si>
  <si>
    <t>Вика, однолетние и многолетние травы                                                          -  элитные посевы</t>
  </si>
  <si>
    <t>Горох, нут -  репродукционные посевы</t>
  </si>
  <si>
    <t>от 61 до 180 га</t>
  </si>
  <si>
    <t>от 181 до 200 га</t>
  </si>
  <si>
    <t>Горох, нут -  элитные посевы</t>
  </si>
  <si>
    <t>Масличные культуры   -                 репродукционные посевы</t>
  </si>
  <si>
    <t>от 21  до  60 га</t>
  </si>
  <si>
    <t>от  61 до 200 га</t>
  </si>
  <si>
    <t>более 200</t>
  </si>
  <si>
    <t>Масличные культуры   -                 элитные посевы</t>
  </si>
  <si>
    <t>Овощные и бахчевые культуры</t>
  </si>
  <si>
    <t>Картофель</t>
  </si>
  <si>
    <t>до 5 га</t>
  </si>
  <si>
    <t>300 кустов/15 проб</t>
  </si>
  <si>
    <t>до 10 га</t>
  </si>
  <si>
    <t>400 кустов/20 проб</t>
  </si>
  <si>
    <t>до 15 га</t>
  </si>
  <si>
    <t>500 кустов/25 проб</t>
  </si>
  <si>
    <t>более 15 га</t>
  </si>
  <si>
    <t>по 2 пробы на каждые 5 га сверх 15 га</t>
  </si>
  <si>
    <t>Регистрация  сортовых посевов</t>
  </si>
  <si>
    <t>до 450 га</t>
  </si>
  <si>
    <t>5. Сертификация семян и посадочного материала сельскохозяйственных растений</t>
  </si>
  <si>
    <t>№ п/п</t>
  </si>
  <si>
    <t xml:space="preserve">Наименование </t>
  </si>
  <si>
    <t>1</t>
  </si>
  <si>
    <t>2</t>
  </si>
  <si>
    <t>3</t>
  </si>
  <si>
    <t>4</t>
  </si>
  <si>
    <t>Сертификация семян и посадочного материала</t>
  </si>
  <si>
    <t>1.1.</t>
  </si>
  <si>
    <t>сертификат соответствия</t>
  </si>
  <si>
    <t>шт.</t>
  </si>
  <si>
    <t>598,08</t>
  </si>
  <si>
    <t>1.2.</t>
  </si>
  <si>
    <t>сертификат соответствия сортовой принадлежности</t>
  </si>
  <si>
    <t>Заверение копий сертификатов</t>
  </si>
  <si>
    <t>199,36</t>
  </si>
  <si>
    <t>Оформление бланка сертификата</t>
  </si>
  <si>
    <t>Продление срока действия сертификата</t>
  </si>
  <si>
    <t>6.   Анализ семян по ISTA</t>
  </si>
  <si>
    <t>Зерновые культуры, пшеница, ячмень, тритикале, овёс, рожь</t>
  </si>
  <si>
    <r>
      <t xml:space="preserve">влажность                                        </t>
    </r>
    <r>
      <rPr>
        <sz val="7"/>
        <rFont val="Times New Roman"/>
        <family val="1"/>
        <charset val="204"/>
      </rPr>
      <t xml:space="preserve">   (воздушно-тепловой метод)</t>
    </r>
  </si>
  <si>
    <r>
      <t xml:space="preserve">чистота                            </t>
    </r>
    <r>
      <rPr>
        <sz val="7"/>
        <rFont val="Times New Roman"/>
        <family val="1"/>
        <charset val="204"/>
      </rPr>
      <t xml:space="preserve">  (гравиметрический (весовой) и визуальный методы)</t>
    </r>
  </si>
  <si>
    <r>
      <t xml:space="preserve">жизнеспособность                                                                   </t>
    </r>
    <r>
      <rPr>
        <sz val="7"/>
        <rFont val="Times New Roman"/>
        <family val="1"/>
        <charset val="204"/>
      </rPr>
      <t xml:space="preserve">    (тетразольно-топографический метод)</t>
    </r>
  </si>
  <si>
    <r>
      <t xml:space="preserve">масса 1000 семян                                                                 </t>
    </r>
    <r>
      <rPr>
        <sz val="7"/>
        <rFont val="Times New Roman"/>
        <family val="1"/>
        <charset val="204"/>
      </rPr>
      <t xml:space="preserve">   (гравиметрический (весовой) метод)</t>
    </r>
  </si>
  <si>
    <t>определение семян других видов</t>
  </si>
  <si>
    <t>Кукуруза</t>
  </si>
  <si>
    <r>
      <t xml:space="preserve">влажность                                         </t>
    </r>
    <r>
      <rPr>
        <sz val="7"/>
        <rFont val="Times New Roman"/>
        <family val="1"/>
        <charset val="204"/>
      </rPr>
      <t xml:space="preserve">  (воздушно-тепловой метод)</t>
    </r>
  </si>
  <si>
    <r>
      <t xml:space="preserve">чистота                             </t>
    </r>
    <r>
      <rPr>
        <sz val="7"/>
        <rFont val="Times New Roman"/>
        <family val="1"/>
        <charset val="204"/>
      </rPr>
      <t xml:space="preserve"> (гравиметрический (весовой) и визуальный методы)</t>
    </r>
  </si>
  <si>
    <r>
      <t xml:space="preserve">жизнеспособность                                                                      </t>
    </r>
    <r>
      <rPr>
        <sz val="7"/>
        <rFont val="Times New Roman"/>
        <family val="1"/>
        <charset val="204"/>
      </rPr>
      <t xml:space="preserve"> (тетразольно-топографический метод)</t>
    </r>
  </si>
  <si>
    <r>
      <t xml:space="preserve">масса 1000 семян                                                                </t>
    </r>
    <r>
      <rPr>
        <sz val="8"/>
        <rFont val="Times New Roman"/>
        <family val="1"/>
        <charset val="204"/>
      </rPr>
      <t xml:space="preserve">    (гравиметрический (весовой) метод)</t>
    </r>
  </si>
  <si>
    <t>Подсолнечник</t>
  </si>
  <si>
    <t>№                        п/п</t>
  </si>
  <si>
    <t>Проведение сертификации по ISTA</t>
  </si>
  <si>
    <t>1 сертификат</t>
  </si>
  <si>
    <t>5</t>
  </si>
  <si>
    <t>Отбор проб по ISTA от партии семян</t>
  </si>
  <si>
    <t>7.   Определение ГМО</t>
  </si>
  <si>
    <r>
      <t>Определение ГМО  по промотору 35S,FMV/терминатору NOS</t>
    </r>
    <r>
      <rPr>
        <sz val="10"/>
        <rFont val="Times New Roman"/>
        <family val="1"/>
        <charset val="204"/>
      </rPr>
      <t>(качественный м-д)</t>
    </r>
  </si>
  <si>
    <t>исследование</t>
  </si>
  <si>
    <t>2 .</t>
  </si>
  <si>
    <t>Обнаружение ГМ растений по наличию генов: pat, bat и EPSPS</t>
  </si>
  <si>
    <r>
      <t xml:space="preserve">Определение ГМО  </t>
    </r>
    <r>
      <rPr>
        <sz val="11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(количественный м-д)</t>
    </r>
  </si>
  <si>
    <t>8.   Определение сортовой принадлежности и сортовой чистоты</t>
  </si>
  <si>
    <t>Определение  сортовой принадлежности и сортовой чистоты семян сельскохозяйственных культур методом электрофореза запасных белков</t>
  </si>
  <si>
    <t xml:space="preserve">           II.  Услуги оказываемые испытательной лабораторией (центром)</t>
  </si>
  <si>
    <t>Пищевая продукция и продовольственное сырьё, корма и комбикормовое сырьё (безопасность)</t>
  </si>
  <si>
    <t>Химико-токсикологические показатели</t>
  </si>
  <si>
    <t>Определение содержания свинца, кадмия по ГОСТ методом ААС</t>
  </si>
  <si>
    <t>анализ</t>
  </si>
  <si>
    <t>Определение содержания мышьяка, ртути по ГОСТ (фотометрический метод)</t>
  </si>
  <si>
    <t>Определение токсичных элементов методом ААС:</t>
  </si>
  <si>
    <t>3.1</t>
  </si>
  <si>
    <t>Свинец</t>
  </si>
  <si>
    <t>3.2</t>
  </si>
  <si>
    <t>Кадмий</t>
  </si>
  <si>
    <t>3.3</t>
  </si>
  <si>
    <t>Медь</t>
  </si>
  <si>
    <t>3.4</t>
  </si>
  <si>
    <t>Цинк</t>
  </si>
  <si>
    <t>3.5</t>
  </si>
  <si>
    <t xml:space="preserve">Ртуть </t>
  </si>
  <si>
    <t>3.6</t>
  </si>
  <si>
    <t>Мышьяк</t>
  </si>
  <si>
    <t>3.7</t>
  </si>
  <si>
    <t xml:space="preserve">Железо   </t>
  </si>
  <si>
    <t>3.8</t>
  </si>
  <si>
    <t>Хром</t>
  </si>
  <si>
    <t>Определение содержания микотоксинов методом ТСХ</t>
  </si>
  <si>
    <t>Определение содержания микотоксинов методом ВЭЖХ</t>
  </si>
  <si>
    <t>6</t>
  </si>
  <si>
    <t>Определение содержания микотоксинов методом ИФА</t>
  </si>
  <si>
    <t>6.1.</t>
  </si>
  <si>
    <t xml:space="preserve">Определение Афлатоксин М1 </t>
  </si>
  <si>
    <t>6.2.</t>
  </si>
  <si>
    <t>Определение  Т2 токсин</t>
  </si>
  <si>
    <t>6.3</t>
  </si>
  <si>
    <t>Определение Охратоксин А</t>
  </si>
  <si>
    <t>6.4</t>
  </si>
  <si>
    <t>Определение  Дезоксиниваленола (ДОН)</t>
  </si>
  <si>
    <t>6.5</t>
  </si>
  <si>
    <t>Определение  Зеараленона</t>
  </si>
  <si>
    <t>6.6</t>
  </si>
  <si>
    <t xml:space="preserve">Определение Афлатоксин В1 </t>
  </si>
  <si>
    <t>7</t>
  </si>
  <si>
    <t>Определение суммы афлатоксинов В1,В2,G1,G2</t>
  </si>
  <si>
    <t>8</t>
  </si>
  <si>
    <t>8.1</t>
  </si>
  <si>
    <t>Определение афлатоксина В1</t>
  </si>
  <si>
    <t>8.2</t>
  </si>
  <si>
    <t>Определение  зеараленона</t>
  </si>
  <si>
    <t>8.3</t>
  </si>
  <si>
    <t>Определение  дезоксиниваленола (ДОН)</t>
  </si>
  <si>
    <t>8.4</t>
  </si>
  <si>
    <t>Определение охратоксина А</t>
  </si>
  <si>
    <t>8.5</t>
  </si>
  <si>
    <t>Определение Т-2 токсина</t>
  </si>
  <si>
    <t>8.6</t>
  </si>
  <si>
    <t xml:space="preserve">Определение афлатоксина M1 </t>
  </si>
  <si>
    <t>8.7</t>
  </si>
  <si>
    <t>Определение патулина</t>
  </si>
  <si>
    <t>9</t>
  </si>
  <si>
    <t>Определение содержания пестицидов методом ТСХ</t>
  </si>
  <si>
    <t>10</t>
  </si>
  <si>
    <t>Определение остаточного количества пестицидов методом ГХ</t>
  </si>
  <si>
    <t>10.1</t>
  </si>
  <si>
    <t>Хлорорганические пестициды(ГХЦГ, ДДТ и др)</t>
  </si>
  <si>
    <t>10.2</t>
  </si>
  <si>
    <t>Фосфорорганические пестициды(хлорпирифос, диметоат, дазинон,фозалон и др)</t>
  </si>
  <si>
    <t>10.3</t>
  </si>
  <si>
    <t xml:space="preserve">Синтетические пиретроиды(дельтаметрин, циперметрин, лямбда-цигалатрин и др) </t>
  </si>
  <si>
    <t>10.4</t>
  </si>
  <si>
    <t xml:space="preserve">Карбаматы(тирам) </t>
  </si>
  <si>
    <t>11</t>
  </si>
  <si>
    <t>Определение ПХБ (полихлорированные бифенилы) методом ГЖХ</t>
  </si>
  <si>
    <t>12</t>
  </si>
  <si>
    <t>2,4 - Д кислота, её соли и эфиры методом ГЖХ</t>
  </si>
  <si>
    <t>13</t>
  </si>
  <si>
    <t>Определение содержания пестицидов методом ГЖХ</t>
  </si>
  <si>
    <t>14</t>
  </si>
  <si>
    <t>Ртутьорганические пестициды методом ГЖХ</t>
  </si>
  <si>
    <t>15</t>
  </si>
  <si>
    <t>Определение бенз(а)пирена методом ВЭЖХ</t>
  </si>
  <si>
    <t>16</t>
  </si>
  <si>
    <t>17</t>
  </si>
  <si>
    <t>Определение радионуклидов (радиоспектрометрический метод)</t>
  </si>
  <si>
    <t>17.1</t>
  </si>
  <si>
    <t>Определение  содержания стронция - 90 (Sr 90)</t>
  </si>
  <si>
    <t>17.2</t>
  </si>
  <si>
    <t xml:space="preserve">Определение содержания цезия - 137 (Cs 137)  </t>
  </si>
  <si>
    <t>18</t>
  </si>
  <si>
    <t>Определение гормонов( стильбенов, стероидов , бета-агонистов и др.) методом ИФА</t>
  </si>
  <si>
    <t>18.1</t>
  </si>
  <si>
    <t>Диэтилстильбестрол</t>
  </si>
  <si>
    <t>18.2</t>
  </si>
  <si>
    <t>Тестостерон</t>
  </si>
  <si>
    <t>18.3</t>
  </si>
  <si>
    <t>β - агонисты</t>
  </si>
  <si>
    <t>18.4</t>
  </si>
  <si>
    <t>Кленбутерол</t>
  </si>
  <si>
    <t>18.5</t>
  </si>
  <si>
    <t>Меленгестрол ацетат</t>
  </si>
  <si>
    <t>18.6</t>
  </si>
  <si>
    <t>18.7</t>
  </si>
  <si>
    <t>Зеранол</t>
  </si>
  <si>
    <t>18.8</t>
  </si>
  <si>
    <t>19-нортестостерон</t>
  </si>
  <si>
    <t>ДОБАВИЛА</t>
  </si>
  <si>
    <t>18.9</t>
  </si>
  <si>
    <t>Тренболон</t>
  </si>
  <si>
    <t>18.10</t>
  </si>
  <si>
    <t>Этинилэстрадиол</t>
  </si>
  <si>
    <t>18.11</t>
  </si>
  <si>
    <t>17-бета-эстрадиол</t>
  </si>
  <si>
    <t>18.12</t>
  </si>
  <si>
    <t>Метилтестостерон</t>
  </si>
  <si>
    <t>19</t>
  </si>
  <si>
    <t>Определение антибиотиков: бацитрацин, пеницилин  и др (чашечный метод)</t>
  </si>
  <si>
    <t>20</t>
  </si>
  <si>
    <t>Определение антибиотиков (премитест, дельватест)  экспресс-метод</t>
  </si>
  <si>
    <t>21</t>
  </si>
  <si>
    <t>Определение антибиотиков (методом ИФА):</t>
  </si>
  <si>
    <t>21.1</t>
  </si>
  <si>
    <t>Хлорамфеникол (Амфениколы)</t>
  </si>
  <si>
    <t>21.2</t>
  </si>
  <si>
    <t xml:space="preserve"> Стрептомицин (Аминогликозиды)</t>
  </si>
  <si>
    <t>21.3</t>
  </si>
  <si>
    <t xml:space="preserve"> Цефалоспорины</t>
  </si>
  <si>
    <t>21.4</t>
  </si>
  <si>
    <t>Определение антибиотиков (тетрациклиновой гр-пы, методом ИФА)</t>
  </si>
  <si>
    <t>22</t>
  </si>
  <si>
    <t>Определение антибиотиков (остатков лекарственных веществ) методом ИФА с помощью тест-системы RIDASCREEN и др</t>
  </si>
  <si>
    <t>22.1</t>
  </si>
  <si>
    <t>Сульфаниламиды</t>
  </si>
  <si>
    <t>22.2</t>
  </si>
  <si>
    <t>Хинолоны</t>
  </si>
  <si>
    <t>22.3</t>
  </si>
  <si>
    <t>Бацитрацин</t>
  </si>
  <si>
    <t>22.4</t>
  </si>
  <si>
    <t>Пенициллины</t>
  </si>
  <si>
    <t>22.5</t>
  </si>
  <si>
    <t xml:space="preserve">Ангельминтики </t>
  </si>
  <si>
    <t>22.6</t>
  </si>
  <si>
    <t>Кокцидиостатики</t>
  </si>
  <si>
    <t>22.7</t>
  </si>
  <si>
    <t>Малахитовый зеленый</t>
  </si>
  <si>
    <t>Есть в ПМ с расшифровкой (зерано) он выше уже был</t>
  </si>
  <si>
    <t>22.8</t>
  </si>
  <si>
    <t>Нитроимидазолы</t>
  </si>
  <si>
    <t>22.9</t>
  </si>
  <si>
    <t>Тилозины</t>
  </si>
  <si>
    <t>22.10</t>
  </si>
  <si>
    <t>Определение нитрофуранов (АОЗ)</t>
  </si>
  <si>
    <t>22.11</t>
  </si>
  <si>
    <t>Определение нитрофуранов (АМОЗ)</t>
  </si>
  <si>
    <t>22.12</t>
  </si>
  <si>
    <t>Определение нитрофуранов (СЭМ, АGD)</t>
  </si>
  <si>
    <t>22.13</t>
  </si>
  <si>
    <t>Амфениколы</t>
  </si>
  <si>
    <t>22.14</t>
  </si>
  <si>
    <t>Аминогликозиды</t>
  </si>
  <si>
    <t>22.15</t>
  </si>
  <si>
    <t>Лактоны резорциловой кислоты</t>
  </si>
  <si>
    <t>23</t>
  </si>
  <si>
    <t>23.1</t>
  </si>
  <si>
    <t xml:space="preserve">Определение аминогликозидов </t>
  </si>
  <si>
    <t>23.2</t>
  </si>
  <si>
    <t>Определение пенициллинов</t>
  </si>
  <si>
    <t>23.3</t>
  </si>
  <si>
    <t xml:space="preserve">Определение  амфениколов </t>
  </si>
  <si>
    <t>23.4</t>
  </si>
  <si>
    <t xml:space="preserve">Определение антибиотиков тетрациклиновой  группы </t>
  </si>
  <si>
    <t>23.5</t>
  </si>
  <si>
    <t xml:space="preserve">Определение нитрофуранов </t>
  </si>
  <si>
    <t>23.6</t>
  </si>
  <si>
    <t>Определение сульфаниламидов</t>
  </si>
  <si>
    <t>23.7</t>
  </si>
  <si>
    <t xml:space="preserve">Определение нитроимидазолов </t>
  </si>
  <si>
    <t>23.8</t>
  </si>
  <si>
    <t>Определение кокцидиостатиков</t>
  </si>
  <si>
    <t>23.9</t>
  </si>
  <si>
    <t>Определение хинолонов</t>
  </si>
  <si>
    <t>23.10</t>
  </si>
  <si>
    <t>Есть в ПМ с расшифровкой макролиды (тилозин) он выше уже был но по цене 1641,31</t>
  </si>
  <si>
    <t>23.11</t>
  </si>
  <si>
    <t>Определение бацитрацина (цинкбацитрацин)</t>
  </si>
  <si>
    <t>Ввели 2 новых показателя</t>
  </si>
  <si>
    <t>23.12</t>
  </si>
  <si>
    <t>Определение бацитрацина (Полипептидные антибиотики)</t>
  </si>
  <si>
    <t>24</t>
  </si>
  <si>
    <t>Гистологический анализ  (методом микроскопии)</t>
  </si>
  <si>
    <t>изменили</t>
  </si>
  <si>
    <t>25</t>
  </si>
  <si>
    <t>Жирно-кислотный состав  методом ГЖХ</t>
  </si>
  <si>
    <t>26</t>
  </si>
  <si>
    <t>Стерины методом ГЖХ</t>
  </si>
  <si>
    <t>27</t>
  </si>
  <si>
    <t>Определение содержания сухого молока в продуктах питания методом ИФА</t>
  </si>
  <si>
    <t>28</t>
  </si>
  <si>
    <t>Определение содержания консервантов методом ВЭЖХ</t>
  </si>
  <si>
    <t>новый показатель</t>
  </si>
  <si>
    <t>ПЦР- исследования в пищевой продукции, кормах</t>
  </si>
  <si>
    <t>29</t>
  </si>
  <si>
    <r>
      <t>Определение ГМО (ДНК растений)</t>
    </r>
    <r>
      <rPr>
        <sz val="11"/>
        <rFont val="Times New Roman"/>
        <family val="1"/>
        <charset val="204"/>
      </rPr>
      <t xml:space="preserve"> (качественный м-д)</t>
    </r>
  </si>
  <si>
    <t>30</t>
  </si>
  <si>
    <t>Определение ДНК растений (качественный м-д)</t>
  </si>
  <si>
    <t>31</t>
  </si>
  <si>
    <r>
      <t>Определение ГМО</t>
    </r>
    <r>
      <rPr>
        <sz val="9"/>
        <rFont val="Times New Roman"/>
        <family val="1"/>
        <charset val="204"/>
      </rPr>
      <t xml:space="preserve"> (количественный м-д)</t>
    </r>
  </si>
  <si>
    <t>31.1</t>
  </si>
  <si>
    <t>Количественное определение ГМ сои линии A 2704-12</t>
  </si>
  <si>
    <t>31.2</t>
  </si>
  <si>
    <t>Количественное определение ГМ сои линии GTS 40-3-2</t>
  </si>
  <si>
    <t>31.3</t>
  </si>
  <si>
    <t>Количественное определение ГМ сои линии A 5547-127</t>
  </si>
  <si>
    <t>31.4</t>
  </si>
  <si>
    <t>Количественное определение ГМ сои линии  BPS-CV-127-9</t>
  </si>
  <si>
    <t>31.5</t>
  </si>
  <si>
    <t>Количественное определение ГМ сои линии  FG 72</t>
  </si>
  <si>
    <t>31.6</t>
  </si>
  <si>
    <t>Количественное определение ГМ сои линии  SYHTOH2</t>
  </si>
  <si>
    <t>31.7</t>
  </si>
  <si>
    <t>Количественное определение ГМ сои линии  MON 89788</t>
  </si>
  <si>
    <t>31.8</t>
  </si>
  <si>
    <t>Количественное определение ГМ сои линии  MON 87701</t>
  </si>
  <si>
    <t>32</t>
  </si>
  <si>
    <t>Идентификация ГМО (определение линий ГМО)</t>
  </si>
  <si>
    <t>32.1</t>
  </si>
  <si>
    <t>Идентификация ГМ сои линий GTS 40-3-2, A 2704-12, A 5547-127, BPS-CV-127-9</t>
  </si>
  <si>
    <t>32.2</t>
  </si>
  <si>
    <t>Идентификация  ГМ сои линий MON 89788, MON 87701, SYHTOH2, FG 72</t>
  </si>
  <si>
    <t>33</t>
  </si>
  <si>
    <t xml:space="preserve">Определение  видовой принадлежности тканей жвачных (говядины, баранины) в пищевых продуктах и кормах методом ПЦР </t>
  </si>
  <si>
    <t>34</t>
  </si>
  <si>
    <t xml:space="preserve">Определение  видовой принадлежности тканей  (курицы, индейки) в пищевых продуктах и кормах методом ПЦР </t>
  </si>
  <si>
    <t>35</t>
  </si>
  <si>
    <t xml:space="preserve">Определение  видовой принадлежности тканей  (свинины) в пищевых продуктах и кормах методом ПЦР </t>
  </si>
  <si>
    <t>внесли</t>
  </si>
  <si>
    <t>36</t>
  </si>
  <si>
    <t xml:space="preserve">Определение  видовой принадлежности рыб семейства лососевых (горбуша, кета, нерка) методом ПЦР </t>
  </si>
  <si>
    <t>Микробиологические показатели:</t>
  </si>
  <si>
    <t>37</t>
  </si>
  <si>
    <t>Определение КМАФАнМ (Количество мезофильных аэробных и факультативных микроорганизмов) классический метод</t>
  </si>
  <si>
    <t>38</t>
  </si>
  <si>
    <t>Определение БГКП- бактерии группы кишечных палочек (колиформы) классический метод</t>
  </si>
  <si>
    <t>39</t>
  </si>
  <si>
    <r>
      <t>Escherichia coli</t>
    </r>
    <r>
      <rPr>
        <i/>
        <sz val="12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>микроскопический метод</t>
    </r>
  </si>
  <si>
    <t>40</t>
  </si>
  <si>
    <t>Определение  S. Aureus                                                                                      (классический метод)</t>
  </si>
  <si>
    <t>41</t>
  </si>
  <si>
    <t>Определение  S. Aureus                                                                                      (экспресс-метод)</t>
  </si>
  <si>
    <t>42</t>
  </si>
  <si>
    <r>
      <t xml:space="preserve">Бактерии рода Proteus </t>
    </r>
    <r>
      <rPr>
        <i/>
        <sz val="9"/>
        <rFont val="Times New Roman"/>
        <family val="1"/>
        <charset val="204"/>
      </rPr>
      <t>микроскопический метод</t>
    </r>
  </si>
  <si>
    <t>43</t>
  </si>
  <si>
    <r>
      <t xml:space="preserve">Определение сульфитредуцирующих клостридий </t>
    </r>
    <r>
      <rPr>
        <i/>
        <sz val="9"/>
        <rFont val="Times New Roman"/>
        <family val="1"/>
        <charset val="204"/>
      </rPr>
      <t>микроскопический метод</t>
    </r>
  </si>
  <si>
    <t>44</t>
  </si>
  <si>
    <r>
      <t xml:space="preserve">Определение бактерии рода Enterococcus </t>
    </r>
    <r>
      <rPr>
        <i/>
        <sz val="9"/>
        <rFont val="Times New Roman"/>
        <family val="1"/>
        <charset val="204"/>
      </rPr>
      <t>микроскопический метод</t>
    </r>
  </si>
  <si>
    <t>45</t>
  </si>
  <si>
    <r>
      <t xml:space="preserve">B. Cereus </t>
    </r>
    <r>
      <rPr>
        <i/>
        <sz val="10"/>
        <rFont val="Times New Roman"/>
        <family val="1"/>
        <charset val="204"/>
      </rPr>
      <t>микроскопический метод</t>
    </r>
  </si>
  <si>
    <t>46</t>
  </si>
  <si>
    <r>
      <t xml:space="preserve">Плесени, дрожжи </t>
    </r>
    <r>
      <rPr>
        <i/>
        <sz val="8"/>
        <rFont val="Times New Roman"/>
        <family val="1"/>
        <charset val="204"/>
      </rPr>
      <t>микроскопический метод</t>
    </r>
  </si>
  <si>
    <t>47</t>
  </si>
  <si>
    <t>Определение сальмонеллы (классический метод)</t>
  </si>
  <si>
    <t>48</t>
  </si>
  <si>
    <t>Определение сальмонеллы экспресс-методом</t>
  </si>
  <si>
    <t>49</t>
  </si>
  <si>
    <t>Определение листерии (классический метод)</t>
  </si>
  <si>
    <t>50</t>
  </si>
  <si>
    <t>Определение листерии экспресс-методом</t>
  </si>
  <si>
    <t>51</t>
  </si>
  <si>
    <r>
      <t xml:space="preserve">Определение V.parahaemolyticus </t>
    </r>
    <r>
      <rPr>
        <i/>
        <sz val="11"/>
        <rFont val="Times New Roman"/>
        <family val="1"/>
        <charset val="204"/>
      </rPr>
      <t>классический метод</t>
    </r>
  </si>
  <si>
    <t>52</t>
  </si>
  <si>
    <r>
      <t xml:space="preserve">Определение соматических клеток </t>
    </r>
    <r>
      <rPr>
        <i/>
        <sz val="11"/>
        <rFont val="Times New Roman"/>
        <family val="1"/>
        <charset val="204"/>
      </rPr>
      <t>микроскопический метод</t>
    </r>
  </si>
  <si>
    <t>53</t>
  </si>
  <si>
    <r>
      <t xml:space="preserve">Определение молочнокислых микроорганизмов в молочных продуктах </t>
    </r>
    <r>
      <rPr>
        <i/>
        <sz val="11"/>
        <rFont val="Times New Roman"/>
        <family val="1"/>
        <charset val="204"/>
      </rPr>
      <t>микроскопический метод</t>
    </r>
  </si>
  <si>
    <t>54</t>
  </si>
  <si>
    <r>
      <t xml:space="preserve">Pseudomonas aeruginosa </t>
    </r>
    <r>
      <rPr>
        <i/>
        <sz val="11"/>
        <rFont val="Times New Roman"/>
        <family val="1"/>
        <charset val="204"/>
      </rPr>
      <t>микроскопический метод</t>
    </r>
  </si>
  <si>
    <t>55</t>
  </si>
  <si>
    <r>
      <t xml:space="preserve">Бактерии семейства Enterobacteriaceae </t>
    </r>
    <r>
      <rPr>
        <i/>
        <sz val="11"/>
        <rFont val="Times New Roman"/>
        <family val="1"/>
        <charset val="204"/>
      </rPr>
      <t>микроскопический метод</t>
    </r>
  </si>
  <si>
    <t>56</t>
  </si>
  <si>
    <r>
      <t xml:space="preserve">Cl. Perfringens </t>
    </r>
    <r>
      <rPr>
        <i/>
        <sz val="9"/>
        <rFont val="Times New Roman"/>
        <family val="1"/>
        <charset val="204"/>
      </rPr>
      <t>микроскопический метод</t>
    </r>
  </si>
  <si>
    <t>57</t>
  </si>
  <si>
    <r>
      <t xml:space="preserve">Clostridium botulinum </t>
    </r>
    <r>
      <rPr>
        <i/>
        <sz val="8"/>
        <rFont val="Times New Roman"/>
        <family val="1"/>
        <charset val="204"/>
      </rPr>
      <t>микроскопический метод</t>
    </r>
  </si>
  <si>
    <t>58</t>
  </si>
  <si>
    <r>
      <t xml:space="preserve">Определение промышленной стерильности </t>
    </r>
    <r>
      <rPr>
        <i/>
        <sz val="8"/>
        <rFont val="Times New Roman"/>
        <family val="1"/>
        <charset val="204"/>
      </rPr>
      <t>микроскопический метод</t>
    </r>
  </si>
  <si>
    <t>59</t>
  </si>
  <si>
    <r>
      <t xml:space="preserve">Паразитарная чистота (рыба, мясо и др.) </t>
    </r>
    <r>
      <rPr>
        <i/>
        <sz val="11"/>
        <rFont val="Times New Roman"/>
        <family val="1"/>
        <charset val="204"/>
      </rPr>
      <t>микроскопический метод</t>
    </r>
  </si>
  <si>
    <t>60</t>
  </si>
  <si>
    <r>
      <t xml:space="preserve">Яйца, личинки гельминтов, цисты кишечных патогенных простейших </t>
    </r>
    <r>
      <rPr>
        <i/>
        <sz val="11"/>
        <rFont val="Times New Roman"/>
        <family val="1"/>
        <charset val="204"/>
      </rPr>
      <t>микроскопический метод</t>
    </r>
  </si>
  <si>
    <t>61</t>
  </si>
  <si>
    <t>Цитробактероз (бактериологический метод)</t>
  </si>
  <si>
    <t>Новые внесли от 19.08.2019г.</t>
  </si>
  <si>
    <t>62</t>
  </si>
  <si>
    <t>Иерсиниоз (бактериологический метод)</t>
  </si>
  <si>
    <t xml:space="preserve">                                            Исследование мяса и мясных продуктов</t>
  </si>
  <si>
    <t xml:space="preserve">Органолептические исследования  (цвет, вкус и запах, внешний вид, масса нетто) визуальный м-д </t>
  </si>
  <si>
    <r>
      <t xml:space="preserve">Определение рН </t>
    </r>
    <r>
      <rPr>
        <i/>
        <sz val="9"/>
        <rFont val="Times New Roman"/>
        <family val="1"/>
        <charset val="204"/>
      </rPr>
      <t>ионометрический метод</t>
    </r>
  </si>
  <si>
    <t>1.3.</t>
  </si>
  <si>
    <r>
      <t xml:space="preserve">Реакция на пероксидазу                                               </t>
    </r>
    <r>
      <rPr>
        <sz val="7"/>
        <rFont val="Times New Roman"/>
        <family val="1"/>
        <charset val="204"/>
      </rPr>
      <t xml:space="preserve">  </t>
    </r>
    <r>
      <rPr>
        <sz val="8"/>
        <rFont val="Times New Roman"/>
        <family val="1"/>
        <charset val="204"/>
      </rPr>
      <t xml:space="preserve"> (физико-химический м-д)</t>
    </r>
  </si>
  <si>
    <t>1.4.</t>
  </si>
  <si>
    <r>
      <t xml:space="preserve">Формольная реакция  </t>
    </r>
    <r>
      <rPr>
        <sz val="8"/>
        <rFont val="Times New Roman"/>
        <family val="1"/>
        <charset val="204"/>
      </rPr>
      <t>(физико-химический м-д)</t>
    </r>
  </si>
  <si>
    <t>1.5.</t>
  </si>
  <si>
    <r>
      <t>Реакция с сернокислой медью</t>
    </r>
    <r>
      <rPr>
        <sz val="8"/>
        <rFont val="Times New Roman"/>
        <family val="1"/>
        <charset val="204"/>
      </rPr>
      <t xml:space="preserve">                           (физико-химический м-д)</t>
    </r>
  </si>
  <si>
    <t>1.6.</t>
  </si>
  <si>
    <r>
      <t xml:space="preserve">Проба варкой </t>
    </r>
    <r>
      <rPr>
        <sz val="8"/>
        <rFont val="Times New Roman"/>
        <family val="1"/>
        <charset val="204"/>
      </rPr>
      <t>(Органолептический)</t>
    </r>
  </si>
  <si>
    <t>Физико-химические показатели:</t>
  </si>
  <si>
    <t>1.7.</t>
  </si>
  <si>
    <r>
      <t xml:space="preserve">Массовая доля жира </t>
    </r>
    <r>
      <rPr>
        <sz val="8"/>
        <rFont val="Times New Roman"/>
        <family val="1"/>
        <charset val="204"/>
      </rPr>
      <t>(физико-химический м-д)</t>
    </r>
  </si>
  <si>
    <t>1.8.</t>
  </si>
  <si>
    <r>
      <t xml:space="preserve">Массовая доля белка </t>
    </r>
    <r>
      <rPr>
        <sz val="7"/>
        <rFont val="Times New Roman"/>
        <family val="1"/>
        <charset val="204"/>
      </rPr>
      <t xml:space="preserve">(физико-химический м-д) </t>
    </r>
  </si>
  <si>
    <t>1.9.</t>
  </si>
  <si>
    <r>
      <rPr>
        <sz val="11"/>
        <rFont val="Times New Roman"/>
        <family val="1"/>
        <charset val="204"/>
      </rPr>
      <t xml:space="preserve">Массовая доля крахмала </t>
    </r>
    <r>
      <rPr>
        <sz val="7"/>
        <rFont val="Times New Roman"/>
        <family val="1"/>
        <charset val="204"/>
      </rPr>
      <t>(физико-химический м-д)</t>
    </r>
  </si>
  <si>
    <t>1.10.</t>
  </si>
  <si>
    <r>
      <rPr>
        <sz val="11"/>
        <rFont val="Times New Roman"/>
        <family val="1"/>
        <charset val="204"/>
      </rPr>
      <t xml:space="preserve">Массовая доля фосфора </t>
    </r>
    <r>
      <rPr>
        <sz val="8"/>
        <rFont val="Times New Roman"/>
        <family val="1"/>
        <charset val="204"/>
      </rPr>
      <t>(физико-химический м-д)</t>
    </r>
  </si>
  <si>
    <t>1.11.</t>
  </si>
  <si>
    <r>
      <t xml:space="preserve">Массовая доля кислой фосфатазы </t>
    </r>
    <r>
      <rPr>
        <sz val="8"/>
        <rFont val="Times New Roman"/>
        <family val="1"/>
        <charset val="204"/>
      </rPr>
      <t>(физико-химический м-д)</t>
    </r>
  </si>
  <si>
    <t>1.12.</t>
  </si>
  <si>
    <r>
      <rPr>
        <sz val="11"/>
        <rFont val="Times New Roman"/>
        <family val="1"/>
        <charset val="204"/>
      </rPr>
      <t>Массовая доля нитрита</t>
    </r>
    <r>
      <rPr>
        <sz val="12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(физико-химический м-д)</t>
    </r>
  </si>
  <si>
    <t>1.13.</t>
  </si>
  <si>
    <r>
      <t xml:space="preserve">Массовая доля соли </t>
    </r>
    <r>
      <rPr>
        <sz val="8"/>
        <rFont val="Times New Roman"/>
        <family val="1"/>
        <charset val="204"/>
      </rPr>
      <t>(физико-химический м-д)</t>
    </r>
  </si>
  <si>
    <t>1.14.</t>
  </si>
  <si>
    <r>
      <t xml:space="preserve">Массовая доля сахара </t>
    </r>
    <r>
      <rPr>
        <sz val="8"/>
        <rFont val="Times New Roman"/>
        <family val="1"/>
        <charset val="204"/>
      </rPr>
      <t>(физико-химический м-д)</t>
    </r>
  </si>
  <si>
    <t>1.15.</t>
  </si>
  <si>
    <r>
      <t xml:space="preserve">Массовая доля влаги </t>
    </r>
    <r>
      <rPr>
        <sz val="8"/>
        <rFont val="Times New Roman"/>
        <family val="1"/>
        <charset val="204"/>
      </rPr>
      <t>(физико-химический м-д)</t>
    </r>
  </si>
  <si>
    <t>1.16.</t>
  </si>
  <si>
    <r>
      <rPr>
        <sz val="11"/>
        <rFont val="Times New Roman"/>
        <family val="1"/>
        <charset val="204"/>
      </rPr>
      <t xml:space="preserve">Массовая доля кальция </t>
    </r>
    <r>
      <rPr>
        <sz val="8"/>
        <rFont val="Times New Roman"/>
        <family val="1"/>
        <charset val="204"/>
      </rPr>
      <t>(физико-химический м-д)</t>
    </r>
  </si>
  <si>
    <t>1.17.</t>
  </si>
  <si>
    <r>
      <t xml:space="preserve">Массовая доля косных включений             </t>
    </r>
    <r>
      <rPr>
        <sz val="8"/>
        <rFont val="Times New Roman"/>
        <family val="1"/>
        <charset val="204"/>
      </rPr>
      <t>(физико-химический м-д)</t>
    </r>
  </si>
  <si>
    <t>1.18.</t>
  </si>
  <si>
    <r>
      <rPr>
        <sz val="11"/>
        <rFont val="Times New Roman"/>
        <family val="1"/>
        <charset val="204"/>
      </rPr>
      <t>Массовая доля начинки</t>
    </r>
    <r>
      <rPr>
        <sz val="12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(физико-химический м-д)</t>
    </r>
  </si>
  <si>
    <t>1.19.</t>
  </si>
  <si>
    <r>
      <t xml:space="preserve">Определение Трихинеллы (Trichinella spiralis) </t>
    </r>
    <r>
      <rPr>
        <i/>
        <sz val="10"/>
        <rFont val="Times New Roman"/>
        <family val="1"/>
        <charset val="204"/>
      </rPr>
      <t>микроскопический метод</t>
    </r>
  </si>
  <si>
    <t>1.20.</t>
  </si>
  <si>
    <r>
      <t xml:space="preserve">Определение массы одного изделия </t>
    </r>
    <r>
      <rPr>
        <sz val="8"/>
        <rFont val="Times New Roman"/>
        <family val="1"/>
        <charset val="204"/>
      </rPr>
      <t xml:space="preserve"> (физико-химический м-д)</t>
    </r>
  </si>
  <si>
    <t>1.21.</t>
  </si>
  <si>
    <r>
      <t xml:space="preserve">Толщина тестовой оболочки для полуфабрикатов  </t>
    </r>
    <r>
      <rPr>
        <sz val="8"/>
        <rFont val="Times New Roman"/>
        <family val="1"/>
        <charset val="204"/>
      </rPr>
      <t>(физико-химический м-д)</t>
    </r>
  </si>
  <si>
    <t>1.22.</t>
  </si>
  <si>
    <t>Массовая доля маринада                                       (физико-химический м-д)</t>
  </si>
  <si>
    <t>Исследования яиц и яичных продуктов</t>
  </si>
  <si>
    <t>2.1.</t>
  </si>
  <si>
    <t xml:space="preserve">Органолептические исследования (цвет, вкус и запах, внешний вид, масса нетто) визуальный м-д </t>
  </si>
  <si>
    <t>2.2.</t>
  </si>
  <si>
    <r>
      <t xml:space="preserve">Овоскопия </t>
    </r>
    <r>
      <rPr>
        <sz val="8"/>
        <rFont val="Times New Roman"/>
        <family val="1"/>
        <charset val="204"/>
      </rPr>
      <t>(Органолептический)</t>
    </r>
  </si>
  <si>
    <t>2.3.</t>
  </si>
  <si>
    <r>
      <t>Массовая доля влаги</t>
    </r>
    <r>
      <rPr>
        <sz val="8"/>
        <rFont val="Times New Roman"/>
        <family val="1"/>
        <charset val="204"/>
      </rPr>
      <t xml:space="preserve"> (физико-химический м-д)</t>
    </r>
  </si>
  <si>
    <t>2.4.</t>
  </si>
  <si>
    <r>
      <t xml:space="preserve">Массовая доля свободных кислот                     </t>
    </r>
    <r>
      <rPr>
        <sz val="8"/>
        <rFont val="Times New Roman"/>
        <family val="1"/>
        <charset val="204"/>
      </rPr>
      <t xml:space="preserve">  (физико-химический м-д)</t>
    </r>
  </si>
  <si>
    <t>2.5.</t>
  </si>
  <si>
    <r>
      <t xml:space="preserve">Массовая  доля жира </t>
    </r>
    <r>
      <rPr>
        <sz val="8"/>
        <rFont val="Times New Roman"/>
        <family val="1"/>
        <charset val="204"/>
      </rPr>
      <t>(физико-химический м-д)</t>
    </r>
  </si>
  <si>
    <t>2.6.</t>
  </si>
  <si>
    <r>
      <t xml:space="preserve">Массовая доля белка </t>
    </r>
    <r>
      <rPr>
        <sz val="8"/>
        <rFont val="Times New Roman"/>
        <family val="1"/>
        <charset val="204"/>
      </rPr>
      <t>(физико-химический м-д)</t>
    </r>
  </si>
  <si>
    <t>2.7.</t>
  </si>
  <si>
    <r>
      <t xml:space="preserve">Растворимость </t>
    </r>
    <r>
      <rPr>
        <sz val="8"/>
        <rFont val="Times New Roman"/>
        <family val="1"/>
        <charset val="204"/>
      </rPr>
      <t>(физико-химический м-д)</t>
    </r>
  </si>
  <si>
    <t>Исследование молока и молочных продуктов:</t>
  </si>
  <si>
    <t>3.1.</t>
  </si>
  <si>
    <r>
      <t xml:space="preserve">Массовая доля  жира </t>
    </r>
    <r>
      <rPr>
        <sz val="8"/>
        <rFont val="Times New Roman"/>
        <family val="1"/>
        <charset val="204"/>
      </rPr>
      <t>(физико-химический м-д)</t>
    </r>
  </si>
  <si>
    <t>3.2.</t>
  </si>
  <si>
    <r>
      <t xml:space="preserve">Массовая доля  влаги </t>
    </r>
    <r>
      <rPr>
        <sz val="8"/>
        <rFont val="Times New Roman"/>
        <family val="1"/>
        <charset val="204"/>
      </rPr>
      <t>(физико-химический м-д)</t>
    </r>
  </si>
  <si>
    <t>3.3.</t>
  </si>
  <si>
    <r>
      <t xml:space="preserve">Массовая доля  соли </t>
    </r>
    <r>
      <rPr>
        <sz val="8"/>
        <rFont val="Times New Roman"/>
        <family val="1"/>
        <charset val="204"/>
      </rPr>
      <t>(физико-химический м-д)</t>
    </r>
  </si>
  <si>
    <t>3.4.</t>
  </si>
  <si>
    <r>
      <t>Массовая доля  белка</t>
    </r>
    <r>
      <rPr>
        <sz val="8"/>
        <rFont val="Times New Roman"/>
        <family val="1"/>
        <charset val="204"/>
      </rPr>
      <t xml:space="preserve"> (физико-химический м-д)</t>
    </r>
  </si>
  <si>
    <t>3.5.</t>
  </si>
  <si>
    <r>
      <rPr>
        <sz val="11"/>
        <rFont val="Times New Roman"/>
        <family val="1"/>
        <charset val="204"/>
      </rPr>
      <t>Определение кислотности</t>
    </r>
    <r>
      <rPr>
        <sz val="12"/>
        <rFont val="Times New Roman"/>
        <family val="1"/>
        <charset val="204"/>
      </rPr>
      <t xml:space="preserve"> </t>
    </r>
    <r>
      <rPr>
        <sz val="7"/>
        <rFont val="Times New Roman"/>
        <family val="1"/>
        <charset val="204"/>
      </rPr>
      <t>(физико-химический м-д)</t>
    </r>
  </si>
  <si>
    <t>3.6.</t>
  </si>
  <si>
    <r>
      <rPr>
        <sz val="11"/>
        <rFont val="Times New Roman"/>
        <family val="1"/>
        <charset val="204"/>
      </rPr>
      <t>Определение плотности</t>
    </r>
    <r>
      <rPr>
        <sz val="8"/>
        <rFont val="Times New Roman"/>
        <family val="1"/>
        <charset val="204"/>
      </rPr>
      <t xml:space="preserve"> (физико-химический м-д)</t>
    </r>
  </si>
  <si>
    <t>3.7.</t>
  </si>
  <si>
    <r>
      <t xml:space="preserve">Определение фальсификации               </t>
    </r>
    <r>
      <rPr>
        <sz val="8"/>
        <rFont val="Times New Roman"/>
        <family val="1"/>
        <charset val="204"/>
      </rPr>
      <t>(химический м-д)</t>
    </r>
  </si>
  <si>
    <t>3.8.</t>
  </si>
  <si>
    <t>Определение физико-химических показателей на приборе "Лактан"</t>
  </si>
  <si>
    <t>3.9.</t>
  </si>
  <si>
    <r>
      <t xml:space="preserve">Точка замерзания </t>
    </r>
    <r>
      <rPr>
        <sz val="8"/>
        <rFont val="Times New Roman"/>
        <family val="1"/>
        <charset val="204"/>
      </rPr>
      <t>(физико-химический м-д)</t>
    </r>
  </si>
  <si>
    <t>3.10.</t>
  </si>
  <si>
    <t>Определение количества соматических клеток вискозиметрическим методом</t>
  </si>
  <si>
    <t>3.11.</t>
  </si>
  <si>
    <r>
      <t xml:space="preserve">Определение редуктазы с резазурином </t>
    </r>
    <r>
      <rPr>
        <sz val="8"/>
        <rFont val="Times New Roman"/>
        <family val="1"/>
        <charset val="204"/>
      </rPr>
      <t>(физико-химический м-д)</t>
    </r>
  </si>
  <si>
    <t>3.12.</t>
  </si>
  <si>
    <r>
      <t xml:space="preserve">Определение СОМО (без жира)                                    </t>
    </r>
    <r>
      <rPr>
        <sz val="8"/>
        <rFont val="Times New Roman"/>
        <family val="1"/>
        <charset val="204"/>
      </rPr>
      <t>(физико-химический м-д)</t>
    </r>
  </si>
  <si>
    <t>3.13.</t>
  </si>
  <si>
    <r>
      <rPr>
        <sz val="11"/>
        <rFont val="Times New Roman"/>
        <family val="1"/>
        <charset val="204"/>
      </rPr>
      <t>Определение фосфатазы (пероксидазы) (</t>
    </r>
    <r>
      <rPr>
        <sz val="8"/>
        <rFont val="Times New Roman"/>
        <family val="1"/>
        <charset val="204"/>
      </rPr>
      <t>физико-химический м-д)</t>
    </r>
  </si>
  <si>
    <t>3.14.</t>
  </si>
  <si>
    <r>
      <rPr>
        <sz val="11"/>
        <rFont val="Times New Roman"/>
        <family val="1"/>
        <charset val="204"/>
      </rPr>
      <t>Массовая доля сахарозы</t>
    </r>
    <r>
      <rPr>
        <sz val="12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(физико-химический м-д)</t>
    </r>
  </si>
  <si>
    <t>3.15.</t>
  </si>
  <si>
    <t>3.16.</t>
  </si>
  <si>
    <r>
      <t xml:space="preserve">Определение группы чистоты  </t>
    </r>
    <r>
      <rPr>
        <sz val="8"/>
        <rFont val="Times New Roman"/>
        <family val="1"/>
        <charset val="204"/>
      </rPr>
      <t>(микробиологический  м-д)</t>
    </r>
  </si>
  <si>
    <t>3.17.</t>
  </si>
  <si>
    <r>
      <rPr>
        <sz val="11"/>
        <rFont val="Times New Roman"/>
        <family val="1"/>
        <charset val="204"/>
      </rPr>
      <t>Массовая доля кальция</t>
    </r>
    <r>
      <rPr>
        <sz val="12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(физико-химический м-д)</t>
    </r>
  </si>
  <si>
    <t>3.18.</t>
  </si>
  <si>
    <r>
      <t xml:space="preserve">Титруемая кислотность молочной плазмы </t>
    </r>
    <r>
      <rPr>
        <sz val="8"/>
        <rFont val="Times New Roman"/>
        <family val="1"/>
        <charset val="204"/>
      </rPr>
      <t>(химический м-д)</t>
    </r>
  </si>
  <si>
    <t>3.19.</t>
  </si>
  <si>
    <r>
      <t xml:space="preserve">Индекс растворимости </t>
    </r>
    <r>
      <rPr>
        <sz val="8"/>
        <rFont val="Times New Roman"/>
        <family val="1"/>
        <charset val="204"/>
      </rPr>
      <t>(физико-химический м-д)</t>
    </r>
  </si>
  <si>
    <t>3.20.</t>
  </si>
  <si>
    <r>
      <t xml:space="preserve">Ингибирующие вещества                            </t>
    </r>
    <r>
      <rPr>
        <sz val="8"/>
        <rFont val="Times New Roman"/>
        <family val="1"/>
        <charset val="204"/>
      </rPr>
      <t xml:space="preserve"> (микробиологический  м-д)</t>
    </r>
  </si>
  <si>
    <t>3.21.</t>
  </si>
  <si>
    <r>
      <t xml:space="preserve">Нитрат натрия </t>
    </r>
    <r>
      <rPr>
        <sz val="10"/>
        <rFont val="Times New Roman"/>
        <family val="1"/>
        <charset val="204"/>
      </rPr>
      <t>(фотометрический метод)</t>
    </r>
  </si>
  <si>
    <t>3.22.</t>
  </si>
  <si>
    <r>
      <t xml:space="preserve">Массовая доля соды </t>
    </r>
    <r>
      <rPr>
        <sz val="8"/>
        <rFont val="Times New Roman"/>
        <family val="1"/>
        <charset val="204"/>
      </rPr>
      <t>(физико-химический м-д)</t>
    </r>
  </si>
  <si>
    <t>3.23.</t>
  </si>
  <si>
    <r>
      <t xml:space="preserve">Массовая доля сухого вещества </t>
    </r>
    <r>
      <rPr>
        <sz val="8"/>
        <rFont val="Times New Roman"/>
        <family val="1"/>
        <charset val="204"/>
      </rPr>
      <t>(физико-химический м-д)</t>
    </r>
  </si>
  <si>
    <t>3.24.</t>
  </si>
  <si>
    <t>3.25.</t>
  </si>
  <si>
    <r>
      <t xml:space="preserve">Определение количества бифидобактерий, лактобактерий </t>
    </r>
    <r>
      <rPr>
        <sz val="10"/>
        <rFont val="Times New Roman"/>
        <family val="1"/>
        <charset val="204"/>
      </rPr>
      <t>(микробиологический м-д)</t>
    </r>
  </si>
  <si>
    <t>Исследование рыбы и рыбных продуктов, нерыбные объекты</t>
  </si>
  <si>
    <t>4.1.</t>
  </si>
  <si>
    <t>4.2.</t>
  </si>
  <si>
    <t>4.3.</t>
  </si>
  <si>
    <r>
      <t xml:space="preserve">Определение аммиака и солей аммония </t>
    </r>
    <r>
      <rPr>
        <sz val="8"/>
        <rFont val="Times New Roman"/>
        <family val="1"/>
        <charset val="204"/>
      </rPr>
      <t>(физико-химический м-д)</t>
    </r>
  </si>
  <si>
    <t>4.4.</t>
  </si>
  <si>
    <r>
      <t xml:space="preserve">Определение сероводорода </t>
    </r>
    <r>
      <rPr>
        <sz val="8"/>
        <rFont val="Times New Roman"/>
        <family val="1"/>
        <charset val="204"/>
      </rPr>
      <t>(химический м-д)</t>
    </r>
  </si>
  <si>
    <t>4.5.</t>
  </si>
  <si>
    <t>4.6.</t>
  </si>
  <si>
    <t>4.7.</t>
  </si>
  <si>
    <t>4.8.</t>
  </si>
  <si>
    <r>
      <rPr>
        <sz val="12"/>
        <rFont val="Times New Roman"/>
        <family val="1"/>
        <charset val="204"/>
      </rPr>
      <t>Определение гистамина</t>
    </r>
    <r>
      <rPr>
        <sz val="10"/>
        <rFont val="Times New Roman"/>
        <family val="1"/>
        <charset val="204"/>
      </rPr>
      <t xml:space="preserve">                                        </t>
    </r>
    <r>
      <rPr>
        <sz val="8"/>
        <rFont val="Times New Roman"/>
        <family val="1"/>
        <charset val="204"/>
      </rPr>
      <t>(фотометрический м-</t>
    </r>
    <r>
      <rPr>
        <i/>
        <sz val="8"/>
        <rFont val="Times New Roman"/>
        <family val="1"/>
        <charset val="204"/>
      </rPr>
      <t>д)</t>
    </r>
    <r>
      <rPr>
        <i/>
        <sz val="10"/>
        <rFont val="Times New Roman"/>
        <family val="1"/>
        <charset val="204"/>
      </rPr>
      <t xml:space="preserve"> </t>
    </r>
  </si>
  <si>
    <t>Исследование консервов, пресервов (мясных и рыбных)</t>
  </si>
  <si>
    <t>5.1.</t>
  </si>
  <si>
    <t>5.2.</t>
  </si>
  <si>
    <t>5.3.</t>
  </si>
  <si>
    <t>5.4.</t>
  </si>
  <si>
    <r>
      <t xml:space="preserve">Определение гистамина </t>
    </r>
    <r>
      <rPr>
        <sz val="8"/>
        <rFont val="Times New Roman"/>
        <family val="1"/>
        <charset val="204"/>
      </rPr>
      <t>(фотометрический м-д)</t>
    </r>
  </si>
  <si>
    <t>5.5.</t>
  </si>
  <si>
    <r>
      <t xml:space="preserve">Определение кислотности </t>
    </r>
    <r>
      <rPr>
        <sz val="8"/>
        <rFont val="Times New Roman"/>
        <family val="1"/>
        <charset val="204"/>
      </rPr>
      <t>(химический м-д)</t>
    </r>
  </si>
  <si>
    <t>5.6.</t>
  </si>
  <si>
    <r>
      <t xml:space="preserve">Определение БКН (бензойнокислый натрий – консервант) </t>
    </r>
    <r>
      <rPr>
        <sz val="8"/>
        <rFont val="Times New Roman"/>
        <family val="1"/>
        <charset val="204"/>
      </rPr>
      <t>(химический м-д)</t>
    </r>
  </si>
  <si>
    <t>5.7.</t>
  </si>
  <si>
    <r>
      <t xml:space="preserve">Определение уротропина (консервант) </t>
    </r>
    <r>
      <rPr>
        <sz val="8"/>
        <rFont val="Times New Roman"/>
        <family val="1"/>
        <charset val="204"/>
      </rPr>
      <t>(физико-химический м-д)</t>
    </r>
  </si>
  <si>
    <t>Исследования  продукции масложировой промышленности</t>
  </si>
  <si>
    <r>
      <t xml:space="preserve">Определение влаги </t>
    </r>
    <r>
      <rPr>
        <sz val="8"/>
        <rFont val="Times New Roman"/>
        <family val="1"/>
        <charset val="204"/>
      </rPr>
      <t>(физико-химический м-д)</t>
    </r>
  </si>
  <si>
    <t>6.3.</t>
  </si>
  <si>
    <t>6.4.</t>
  </si>
  <si>
    <r>
      <t>Массовая  доля жира</t>
    </r>
    <r>
      <rPr>
        <sz val="8"/>
        <rFont val="Times New Roman"/>
        <family val="1"/>
        <charset val="204"/>
      </rPr>
      <t xml:space="preserve"> (физико-химический м-д)</t>
    </r>
  </si>
  <si>
    <t>6.5.</t>
  </si>
  <si>
    <r>
      <t xml:space="preserve">Определение перекисного числа </t>
    </r>
    <r>
      <rPr>
        <sz val="8"/>
        <rFont val="Times New Roman"/>
        <family val="1"/>
        <charset val="204"/>
      </rPr>
      <t>(химический м-д)</t>
    </r>
  </si>
  <si>
    <t>6.6.</t>
  </si>
  <si>
    <r>
      <t xml:space="preserve">Фальсификация </t>
    </r>
    <r>
      <rPr>
        <sz val="8"/>
        <rFont val="Times New Roman"/>
        <family val="1"/>
        <charset val="204"/>
      </rPr>
      <t>(химический м-д)</t>
    </r>
  </si>
  <si>
    <t>6.7.</t>
  </si>
  <si>
    <r>
      <t xml:space="preserve">Определение кислотного числа                  </t>
    </r>
    <r>
      <rPr>
        <sz val="8"/>
        <rFont val="Times New Roman"/>
        <family val="1"/>
        <charset val="204"/>
      </rPr>
      <t>(химический м-д)</t>
    </r>
  </si>
  <si>
    <t>6.8.</t>
  </si>
  <si>
    <r>
      <t xml:space="preserve">Цветное число </t>
    </r>
    <r>
      <rPr>
        <sz val="8"/>
        <rFont val="Times New Roman"/>
        <family val="1"/>
        <charset val="204"/>
      </rPr>
      <t>(химический м-д)</t>
    </r>
  </si>
  <si>
    <t>6.9.</t>
  </si>
  <si>
    <r>
      <t xml:space="preserve">Определение фосфорсодержащих соединений   </t>
    </r>
    <r>
      <rPr>
        <i/>
        <sz val="9"/>
        <rFont val="Times New Roman"/>
        <family val="1"/>
        <charset val="204"/>
      </rPr>
      <t>фотометрический метод</t>
    </r>
  </si>
  <si>
    <t>6.10.</t>
  </si>
  <si>
    <r>
      <t xml:space="preserve">Определение нежировых примесей           </t>
    </r>
    <r>
      <rPr>
        <sz val="8"/>
        <rFont val="Times New Roman"/>
        <family val="1"/>
        <charset val="204"/>
      </rPr>
      <t>(химический м-д)</t>
    </r>
  </si>
  <si>
    <t>6.11.</t>
  </si>
  <si>
    <r>
      <t xml:space="preserve">Определение отстоя </t>
    </r>
    <r>
      <rPr>
        <sz val="8"/>
        <rFont val="Times New Roman"/>
        <family val="1"/>
        <charset val="204"/>
      </rPr>
      <t>(химический м-д)</t>
    </r>
  </si>
  <si>
    <t>6.12.</t>
  </si>
  <si>
    <r>
      <t xml:space="preserve">Определение температуры плавления </t>
    </r>
    <r>
      <rPr>
        <sz val="8"/>
        <rFont val="Times New Roman"/>
        <family val="1"/>
        <charset val="204"/>
      </rPr>
      <t>(химический м-д)</t>
    </r>
  </si>
  <si>
    <t>6.13.</t>
  </si>
  <si>
    <t>6.14.</t>
  </si>
  <si>
    <r>
      <t xml:space="preserve">Массовая доля неомыляемых веществ </t>
    </r>
    <r>
      <rPr>
        <sz val="8"/>
        <rFont val="Times New Roman"/>
        <family val="1"/>
        <charset val="204"/>
      </rPr>
      <t>(химический м-д)</t>
    </r>
  </si>
  <si>
    <t>6.15.</t>
  </si>
  <si>
    <r>
      <t xml:space="preserve">Массовая доля нерастворимых веществ </t>
    </r>
    <r>
      <rPr>
        <sz val="8"/>
        <rFont val="Times New Roman"/>
        <family val="1"/>
        <charset val="204"/>
      </rPr>
      <t>(химический м-д)</t>
    </r>
  </si>
  <si>
    <t>6.16.</t>
  </si>
  <si>
    <r>
      <t xml:space="preserve">Температура застывания жирных кислот </t>
    </r>
    <r>
      <rPr>
        <sz val="8"/>
        <rFont val="Times New Roman"/>
        <family val="1"/>
        <charset val="204"/>
      </rPr>
      <t>(химический м-д)</t>
    </r>
  </si>
  <si>
    <t>Исследование меда</t>
  </si>
  <si>
    <t>7.1.</t>
  </si>
  <si>
    <t>7.2.</t>
  </si>
  <si>
    <r>
      <t>Влажность</t>
    </r>
    <r>
      <rPr>
        <sz val="8"/>
        <rFont val="Times New Roman"/>
        <family val="1"/>
        <charset val="204"/>
      </rPr>
      <t xml:space="preserve"> (физико-химический м-д)</t>
    </r>
  </si>
  <si>
    <t>7.3.</t>
  </si>
  <si>
    <r>
      <t xml:space="preserve">Кислотность </t>
    </r>
    <r>
      <rPr>
        <sz val="8"/>
        <rFont val="Times New Roman"/>
        <family val="1"/>
        <charset val="204"/>
      </rPr>
      <t>(физико-химический м-д)</t>
    </r>
  </si>
  <si>
    <t>7.4.</t>
  </si>
  <si>
    <r>
      <t xml:space="preserve">Диастазное число </t>
    </r>
    <r>
      <rPr>
        <sz val="8"/>
        <rFont val="Times New Roman"/>
        <family val="1"/>
        <charset val="204"/>
      </rPr>
      <t>(химический м-д)</t>
    </r>
  </si>
  <si>
    <t>7.5.</t>
  </si>
  <si>
    <r>
      <t xml:space="preserve">Определение сахаров и сахарозы               </t>
    </r>
    <r>
      <rPr>
        <sz val="8"/>
        <rFont val="Times New Roman"/>
        <family val="1"/>
        <charset val="204"/>
      </rPr>
      <t xml:space="preserve"> (химический м-д)</t>
    </r>
  </si>
  <si>
    <t>7.6.</t>
  </si>
  <si>
    <r>
      <t xml:space="preserve">Определение пади </t>
    </r>
    <r>
      <rPr>
        <sz val="8"/>
        <rFont val="Times New Roman"/>
        <family val="1"/>
        <charset val="204"/>
      </rPr>
      <t>(физико-химический м-д)</t>
    </r>
  </si>
  <si>
    <t>7.7.</t>
  </si>
  <si>
    <r>
      <t xml:space="preserve">Механические примеси                                </t>
    </r>
    <r>
      <rPr>
        <sz val="8"/>
        <rFont val="Times New Roman"/>
        <family val="1"/>
        <charset val="204"/>
      </rPr>
      <t>(физико-химический м-д)</t>
    </r>
  </si>
  <si>
    <t>7.8.</t>
  </si>
  <si>
    <r>
      <t xml:space="preserve">Примесь патоки </t>
    </r>
    <r>
      <rPr>
        <sz val="8"/>
        <rFont val="Times New Roman"/>
        <family val="1"/>
        <charset val="204"/>
      </rPr>
      <t>(физико-химический м-д)</t>
    </r>
  </si>
  <si>
    <t>7.9.</t>
  </si>
  <si>
    <r>
      <t>Определение оксиметилфурфурола (качественная реакция)</t>
    </r>
    <r>
      <rPr>
        <sz val="7"/>
        <rFont val="Times New Roman"/>
        <family val="1"/>
        <charset val="204"/>
      </rPr>
      <t xml:space="preserve"> (химический м-д)</t>
    </r>
  </si>
  <si>
    <t>7.10.</t>
  </si>
  <si>
    <r>
      <t xml:space="preserve">Определение оксиметилфурфурола </t>
    </r>
    <r>
      <rPr>
        <sz val="8"/>
        <rFont val="Times New Roman"/>
        <family val="1"/>
        <charset val="204"/>
      </rPr>
      <t>(химический м-д)</t>
    </r>
  </si>
  <si>
    <t>7.11.</t>
  </si>
  <si>
    <r>
      <t xml:space="preserve">Редуцирующие сахара </t>
    </r>
    <r>
      <rPr>
        <sz val="8"/>
        <rFont val="Times New Roman"/>
        <family val="1"/>
        <charset val="204"/>
      </rPr>
      <t>(химический м-д)</t>
    </r>
  </si>
  <si>
    <t>7.12.</t>
  </si>
  <si>
    <r>
      <t xml:space="preserve">Пыльцевой анализ меда </t>
    </r>
    <r>
      <rPr>
        <sz val="8"/>
        <rFont val="Times New Roman"/>
        <family val="1"/>
        <charset val="204"/>
      </rPr>
      <t>(химический м-д)</t>
    </r>
  </si>
  <si>
    <t>7.13.</t>
  </si>
  <si>
    <r>
      <t xml:space="preserve">Массовая доля включений </t>
    </r>
    <r>
      <rPr>
        <sz val="9"/>
        <rFont val="Times New Roman"/>
        <family val="1"/>
        <charset val="204"/>
      </rPr>
      <t>(химический м-д)</t>
    </r>
  </si>
  <si>
    <t>Исследование плодоовощной продукции</t>
  </si>
  <si>
    <t>8.1.</t>
  </si>
  <si>
    <t>8.2.</t>
  </si>
  <si>
    <r>
      <t>Определение нитритов</t>
    </r>
    <r>
      <rPr>
        <sz val="8"/>
        <rFont val="Times New Roman"/>
        <family val="1"/>
        <charset val="204"/>
      </rPr>
      <t xml:space="preserve"> (ионометрический м-д)</t>
    </r>
  </si>
  <si>
    <t>8.3.</t>
  </si>
  <si>
    <r>
      <t xml:space="preserve">Определение концентрации нитратов микропроцессорным измерителем "Микон" </t>
    </r>
    <r>
      <rPr>
        <sz val="10"/>
        <rFont val="Times New Roman"/>
        <family val="1"/>
        <charset val="204"/>
      </rPr>
      <t>(ионометрический м-д)</t>
    </r>
  </si>
  <si>
    <t>Исследование продуктов переботки плодов и овощей</t>
  </si>
  <si>
    <t>9.1.</t>
  </si>
  <si>
    <t>9.2.</t>
  </si>
  <si>
    <r>
      <t xml:space="preserve">Содержание металломагнитной примеси </t>
    </r>
    <r>
      <rPr>
        <sz val="8"/>
        <rFont val="Times New Roman"/>
        <family val="1"/>
        <charset val="204"/>
      </rPr>
      <t>(физико-химический м-д)</t>
    </r>
  </si>
  <si>
    <t>9.3.</t>
  </si>
  <si>
    <t>9.4.</t>
  </si>
  <si>
    <r>
      <rPr>
        <sz val="11"/>
        <rFont val="Times New Roman"/>
        <family val="1"/>
        <charset val="204"/>
      </rPr>
      <t>Определение кислотности</t>
    </r>
    <r>
      <rPr>
        <sz val="7"/>
        <rFont val="Times New Roman"/>
        <family val="1"/>
        <charset val="204"/>
      </rPr>
      <t xml:space="preserve"> (физико-химический м-д)</t>
    </r>
  </si>
  <si>
    <t>9.5.</t>
  </si>
  <si>
    <r>
      <t>Определение белка</t>
    </r>
    <r>
      <rPr>
        <sz val="8"/>
        <rFont val="Times New Roman"/>
        <family val="1"/>
        <charset val="204"/>
      </rPr>
      <t xml:space="preserve"> (физико-химический м-д)</t>
    </r>
  </si>
  <si>
    <t>9.6.</t>
  </si>
  <si>
    <r>
      <t>Определение поваренной соли</t>
    </r>
    <r>
      <rPr>
        <sz val="8"/>
        <rFont val="Times New Roman"/>
        <family val="1"/>
        <charset val="204"/>
      </rPr>
      <t xml:space="preserve">                         (физико-химический м-д)</t>
    </r>
  </si>
  <si>
    <t>9.7.</t>
  </si>
  <si>
    <r>
      <t>Определение жира</t>
    </r>
    <r>
      <rPr>
        <sz val="8"/>
        <rFont val="Times New Roman"/>
        <family val="1"/>
        <charset val="204"/>
      </rPr>
      <t xml:space="preserve"> (физико-химический м-д)</t>
    </r>
  </si>
  <si>
    <t>9.8.</t>
  </si>
  <si>
    <r>
      <t xml:space="preserve">Определение нитритов  </t>
    </r>
    <r>
      <rPr>
        <sz val="8"/>
        <rFont val="Times New Roman"/>
        <family val="1"/>
        <charset val="204"/>
      </rPr>
      <t>(ионометрический м-д)</t>
    </r>
  </si>
  <si>
    <t>9.9.</t>
  </si>
  <si>
    <t>Определение концентрации нитратов микропроцессорным измерителем "Микон" (ионометрический м-д)</t>
  </si>
  <si>
    <t xml:space="preserve">Исследование хлеба, хлебобулочных, макаронных  и кондитерских изделий </t>
  </si>
  <si>
    <t>10.1.</t>
  </si>
  <si>
    <t>10.2.</t>
  </si>
  <si>
    <t>10.3.</t>
  </si>
  <si>
    <r>
      <rPr>
        <sz val="11"/>
        <rFont val="Times New Roman"/>
        <family val="1"/>
        <charset val="204"/>
      </rPr>
      <t xml:space="preserve">Определение кислотности </t>
    </r>
    <r>
      <rPr>
        <sz val="7"/>
        <rFont val="Times New Roman"/>
        <family val="1"/>
        <charset val="204"/>
      </rPr>
      <t>(физико-химический м-д)</t>
    </r>
  </si>
  <si>
    <t>10.4.</t>
  </si>
  <si>
    <r>
      <t xml:space="preserve">Пористость </t>
    </r>
    <r>
      <rPr>
        <sz val="8"/>
        <rFont val="Times New Roman"/>
        <family val="1"/>
        <charset val="204"/>
      </rPr>
      <t>(физико-химический м-д)</t>
    </r>
  </si>
  <si>
    <t>10.5.</t>
  </si>
  <si>
    <r>
      <t xml:space="preserve">Определение жира </t>
    </r>
    <r>
      <rPr>
        <sz val="8"/>
        <rFont val="Times New Roman"/>
        <family val="1"/>
        <charset val="204"/>
      </rPr>
      <t>(физико-химический м-д)</t>
    </r>
  </si>
  <si>
    <t>10.6.</t>
  </si>
  <si>
    <r>
      <t xml:space="preserve">Определение сахаров и сахарозы                </t>
    </r>
    <r>
      <rPr>
        <sz val="8"/>
        <rFont val="Times New Roman"/>
        <family val="1"/>
        <charset val="204"/>
      </rPr>
      <t>(физико-химический м-д)</t>
    </r>
  </si>
  <si>
    <t>10.7.</t>
  </si>
  <si>
    <r>
      <t xml:space="preserve">Редуцирующие вещества                             </t>
    </r>
    <r>
      <rPr>
        <sz val="8"/>
        <rFont val="Times New Roman"/>
        <family val="1"/>
        <charset val="204"/>
      </rPr>
      <t xml:space="preserve"> (физико-химический м-д)</t>
    </r>
  </si>
  <si>
    <t>10.8.</t>
  </si>
  <si>
    <r>
      <t xml:space="preserve">Зола не растворимая в соляной кислоте </t>
    </r>
    <r>
      <rPr>
        <sz val="8"/>
        <rFont val="Times New Roman"/>
        <family val="1"/>
        <charset val="204"/>
      </rPr>
      <t>(физико-химический м-д)</t>
    </r>
  </si>
  <si>
    <t>10.9.</t>
  </si>
  <si>
    <r>
      <t xml:space="preserve">Щелочность  </t>
    </r>
    <r>
      <rPr>
        <sz val="8"/>
        <rFont val="Times New Roman"/>
        <family val="1"/>
        <charset val="204"/>
      </rPr>
      <t>(физико-химический м-д)</t>
    </r>
  </si>
  <si>
    <t>10.10.</t>
  </si>
  <si>
    <r>
      <t xml:space="preserve">Намокаемость </t>
    </r>
    <r>
      <rPr>
        <sz val="8"/>
        <rFont val="Times New Roman"/>
        <family val="1"/>
        <charset val="204"/>
      </rPr>
      <t>(физико-химический м-д)</t>
    </r>
  </si>
  <si>
    <t>10.11.</t>
  </si>
  <si>
    <r>
      <t>Белок</t>
    </r>
    <r>
      <rPr>
        <sz val="8"/>
        <rFont val="Times New Roman"/>
        <family val="1"/>
        <charset val="204"/>
      </rPr>
      <t xml:space="preserve"> (физико-химический м-д)</t>
    </r>
  </si>
  <si>
    <t>10.12.</t>
  </si>
  <si>
    <r>
      <t xml:space="preserve">Массовая доля общей сернистой кислоты </t>
    </r>
    <r>
      <rPr>
        <sz val="8"/>
        <rFont val="Times New Roman"/>
        <family val="1"/>
        <charset val="204"/>
      </rPr>
      <t>(физико-химический м-д)</t>
    </r>
  </si>
  <si>
    <t>10.13.</t>
  </si>
  <si>
    <r>
      <t>Массовая доля йода</t>
    </r>
    <r>
      <rPr>
        <sz val="8"/>
        <rFont val="Times New Roman"/>
        <family val="1"/>
        <charset val="204"/>
      </rPr>
      <t xml:space="preserve"> (физико-химический м-д)</t>
    </r>
  </si>
  <si>
    <t>10.14</t>
  </si>
  <si>
    <t>Массовая доля крахмала                                         (физико-химический м-д)</t>
  </si>
  <si>
    <t xml:space="preserve">Исследование напитков безалкогольных и алкогольных </t>
  </si>
  <si>
    <t>11.1.</t>
  </si>
  <si>
    <r>
      <t xml:space="preserve">Крепость </t>
    </r>
    <r>
      <rPr>
        <sz val="8"/>
        <rFont val="Times New Roman"/>
        <family val="1"/>
        <charset val="204"/>
      </rPr>
      <t>(физико-химический м-д)</t>
    </r>
  </si>
  <si>
    <t>11.2.</t>
  </si>
  <si>
    <r>
      <t xml:space="preserve">Щелочность </t>
    </r>
    <r>
      <rPr>
        <sz val="8"/>
        <rFont val="Times New Roman"/>
        <family val="1"/>
        <charset val="204"/>
      </rPr>
      <t xml:space="preserve"> (физико-химический м-д)</t>
    </r>
  </si>
  <si>
    <t>11.3.</t>
  </si>
  <si>
    <r>
      <t>Массовая доля уксусного альдегида</t>
    </r>
    <r>
      <rPr>
        <sz val="8"/>
        <rFont val="Times New Roman"/>
        <family val="1"/>
        <charset val="204"/>
      </rPr>
      <t xml:space="preserve">               (физико-химический м-д)</t>
    </r>
  </si>
  <si>
    <t>11.4.</t>
  </si>
  <si>
    <r>
      <t xml:space="preserve">Сивушные масла </t>
    </r>
    <r>
      <rPr>
        <sz val="8"/>
        <rFont val="Times New Roman"/>
        <family val="1"/>
        <charset val="204"/>
      </rPr>
      <t>(физико-химический м-д)</t>
    </r>
  </si>
  <si>
    <t>11.5.</t>
  </si>
  <si>
    <r>
      <t xml:space="preserve">Метиловый спирт </t>
    </r>
    <r>
      <rPr>
        <sz val="8"/>
        <rFont val="Times New Roman"/>
        <family val="1"/>
        <charset val="204"/>
      </rPr>
      <t>(физико-химический м-д)</t>
    </r>
  </si>
  <si>
    <t>11.6.</t>
  </si>
  <si>
    <t>11.7.</t>
  </si>
  <si>
    <r>
      <t xml:space="preserve">рН   </t>
    </r>
    <r>
      <rPr>
        <sz val="8"/>
        <rFont val="Times New Roman"/>
        <family val="1"/>
        <charset val="204"/>
      </rPr>
      <t>(ионометрический м-д)</t>
    </r>
  </si>
  <si>
    <t>11.8.</t>
  </si>
  <si>
    <r>
      <t xml:space="preserve">Массовая доля двуокиси углерода               </t>
    </r>
    <r>
      <rPr>
        <sz val="8"/>
        <rFont val="Times New Roman"/>
        <family val="1"/>
        <charset val="204"/>
      </rPr>
      <t>(физико-химический м-д)</t>
    </r>
  </si>
  <si>
    <t>11.9.</t>
  </si>
  <si>
    <t>11.10.</t>
  </si>
  <si>
    <r>
      <t xml:space="preserve">Определение сахара </t>
    </r>
    <r>
      <rPr>
        <sz val="8"/>
        <rFont val="Times New Roman"/>
        <family val="1"/>
        <charset val="204"/>
      </rPr>
      <t>(физико-химический м-д)</t>
    </r>
  </si>
  <si>
    <t>11.11.</t>
  </si>
  <si>
    <r>
      <t xml:space="preserve">Высота пены </t>
    </r>
    <r>
      <rPr>
        <sz val="8"/>
        <rFont val="Times New Roman"/>
        <family val="1"/>
        <charset val="204"/>
      </rPr>
      <t>(физико-химический м-д)</t>
    </r>
  </si>
  <si>
    <t>11.12.</t>
  </si>
  <si>
    <r>
      <t xml:space="preserve">Пеностойкость </t>
    </r>
    <r>
      <rPr>
        <sz val="8"/>
        <rFont val="Times New Roman"/>
        <family val="1"/>
        <charset val="204"/>
      </rPr>
      <t>(физико-химический м-д)</t>
    </r>
  </si>
  <si>
    <t>11.13.</t>
  </si>
  <si>
    <r>
      <t xml:space="preserve">Цвет </t>
    </r>
    <r>
      <rPr>
        <sz val="8"/>
        <rFont val="Times New Roman"/>
        <family val="1"/>
        <charset val="204"/>
      </rPr>
      <t>(физико-химический м-д)</t>
    </r>
  </si>
  <si>
    <t>Исследование воды</t>
  </si>
  <si>
    <t>12.1.</t>
  </si>
  <si>
    <t>Санитарно-гигиенические исследования воды(органолептика,физические,химические методы:запах,цвет,вкус,мутность,осадок,окисляемость,нитриты,нитраты,хлориды,сульфаты,жесткость,сероводород,др.)</t>
  </si>
  <si>
    <t>12.2.</t>
  </si>
  <si>
    <t>Гидрохимические исследования на основные показатели пробы воды в прудовых хозяйствах)</t>
  </si>
  <si>
    <t>12.3.</t>
  </si>
  <si>
    <t>Микробиологические исследования питьевой воды</t>
  </si>
  <si>
    <t>12.4.</t>
  </si>
  <si>
    <t>Микробиологические исследования  воды водоемов</t>
  </si>
  <si>
    <t>12.5.</t>
  </si>
  <si>
    <t>Определение токсичных элементов методом ААС</t>
  </si>
  <si>
    <t>12.6.</t>
  </si>
  <si>
    <t>12.7.</t>
  </si>
  <si>
    <r>
      <t xml:space="preserve">Яйца, личинки гельминтов, цисты кишечных патогенных простейших  </t>
    </r>
    <r>
      <rPr>
        <sz val="8"/>
        <rFont val="Times New Roman"/>
        <family val="1"/>
        <charset val="204"/>
      </rPr>
      <t>(метод микроскопии)</t>
    </r>
  </si>
  <si>
    <t>12.8.</t>
  </si>
  <si>
    <r>
      <t xml:space="preserve">Удельная электропроводность </t>
    </r>
    <r>
      <rPr>
        <sz val="8"/>
        <rFont val="Times New Roman"/>
        <family val="1"/>
        <charset val="204"/>
      </rPr>
      <t>(ионометрический м-д)</t>
    </r>
  </si>
  <si>
    <t>12.9.</t>
  </si>
  <si>
    <r>
      <t xml:space="preserve">Мутность </t>
    </r>
    <r>
      <rPr>
        <sz val="8"/>
        <rFont val="Times New Roman"/>
        <family val="1"/>
        <charset val="204"/>
      </rPr>
      <t>(физико-химический м-д)</t>
    </r>
  </si>
  <si>
    <t>12.10.</t>
  </si>
  <si>
    <r>
      <t xml:space="preserve">Цветность </t>
    </r>
    <r>
      <rPr>
        <sz val="8"/>
        <rFont val="Times New Roman"/>
        <family val="1"/>
        <charset val="204"/>
      </rPr>
      <t xml:space="preserve"> (физико-химический м-д)</t>
    </r>
  </si>
  <si>
    <t>12.11.</t>
  </si>
  <si>
    <r>
      <t xml:space="preserve">Жесткость  </t>
    </r>
    <r>
      <rPr>
        <sz val="8"/>
        <rFont val="Times New Roman"/>
        <family val="1"/>
        <charset val="204"/>
      </rPr>
      <t>(физико-химический м-д)</t>
    </r>
  </si>
  <si>
    <t>12.12.</t>
  </si>
  <si>
    <t>12.13.</t>
  </si>
  <si>
    <r>
      <t xml:space="preserve">Нитраты  </t>
    </r>
    <r>
      <rPr>
        <sz val="8"/>
        <rFont val="Times New Roman"/>
        <family val="1"/>
        <charset val="204"/>
      </rPr>
      <t>(физико-химический м-д)</t>
    </r>
  </si>
  <si>
    <t>12.14.</t>
  </si>
  <si>
    <r>
      <t xml:space="preserve">Нитриты  </t>
    </r>
    <r>
      <rPr>
        <sz val="8"/>
        <rFont val="Times New Roman"/>
        <family val="1"/>
        <charset val="204"/>
      </rPr>
      <t>(физико-химический м-д)</t>
    </r>
  </si>
  <si>
    <t>12.15.</t>
  </si>
  <si>
    <r>
      <t xml:space="preserve">Железо     </t>
    </r>
    <r>
      <rPr>
        <sz val="8"/>
        <rFont val="Times New Roman"/>
        <family val="1"/>
        <charset val="204"/>
      </rPr>
      <t>(физико-химический м-д)</t>
    </r>
  </si>
  <si>
    <t>12.16.</t>
  </si>
  <si>
    <r>
      <t xml:space="preserve">Массовая концентрация аммиака и ионов аммония </t>
    </r>
    <r>
      <rPr>
        <sz val="8"/>
        <rFont val="Times New Roman"/>
        <family val="1"/>
        <charset val="204"/>
      </rPr>
      <t>(фотометрический м-д)</t>
    </r>
  </si>
  <si>
    <t>12.17.</t>
  </si>
  <si>
    <r>
      <t xml:space="preserve">Хлориды  </t>
    </r>
    <r>
      <rPr>
        <sz val="8"/>
        <rFont val="Times New Roman"/>
        <family val="1"/>
        <charset val="204"/>
      </rPr>
      <t>(физико-химический м-д)</t>
    </r>
  </si>
  <si>
    <t>12.18.</t>
  </si>
  <si>
    <r>
      <t xml:space="preserve">Сульфаты  </t>
    </r>
    <r>
      <rPr>
        <sz val="8"/>
        <rFont val="Times New Roman"/>
        <family val="1"/>
        <charset val="204"/>
      </rPr>
      <t xml:space="preserve">(физико-химический м-д) </t>
    </r>
  </si>
  <si>
    <t>12.19.</t>
  </si>
  <si>
    <r>
      <t xml:space="preserve">Фосфаты  </t>
    </r>
    <r>
      <rPr>
        <sz val="8"/>
        <rFont val="Times New Roman"/>
        <family val="1"/>
        <charset val="204"/>
      </rPr>
      <t>(физико-химический м-д)</t>
    </r>
  </si>
  <si>
    <t>12.20.</t>
  </si>
  <si>
    <r>
      <t xml:space="preserve">Фториды </t>
    </r>
    <r>
      <rPr>
        <sz val="8"/>
        <rFont val="Times New Roman"/>
        <family val="1"/>
        <charset val="204"/>
      </rPr>
      <t>(фотометрический метод)</t>
    </r>
  </si>
  <si>
    <t>12.21.</t>
  </si>
  <si>
    <r>
      <t xml:space="preserve">Нефтепродукты </t>
    </r>
    <r>
      <rPr>
        <sz val="8"/>
        <rFont val="Times New Roman"/>
        <family val="1"/>
        <charset val="204"/>
      </rPr>
      <t>(фотометрический метод)</t>
    </r>
  </si>
  <si>
    <t>12.22.</t>
  </si>
  <si>
    <r>
      <t xml:space="preserve">Фенолы  </t>
    </r>
    <r>
      <rPr>
        <sz val="8"/>
        <rFont val="Times New Roman"/>
        <family val="1"/>
        <charset val="204"/>
      </rPr>
      <t>(физико-химический м-д)</t>
    </r>
  </si>
  <si>
    <t>12.23.</t>
  </si>
  <si>
    <r>
      <t xml:space="preserve">Поверхностные вещества ПАВ </t>
    </r>
    <r>
      <rPr>
        <sz val="8"/>
        <rFont val="Times New Roman"/>
        <family val="1"/>
        <charset val="204"/>
      </rPr>
      <t>(физико-химический м-д)</t>
    </r>
  </si>
  <si>
    <t>12.24.</t>
  </si>
  <si>
    <r>
      <rPr>
        <sz val="11"/>
        <rFont val="Times New Roman"/>
        <family val="1"/>
        <charset val="204"/>
      </rPr>
      <t xml:space="preserve">Водородный показатель рН </t>
    </r>
    <r>
      <rPr>
        <sz val="7"/>
        <rFont val="Times New Roman"/>
        <family val="1"/>
        <charset val="204"/>
      </rPr>
      <t>(физико-химический м-д)</t>
    </r>
  </si>
  <si>
    <t>12.25.</t>
  </si>
  <si>
    <r>
      <t xml:space="preserve">Взвешанные вещества </t>
    </r>
    <r>
      <rPr>
        <sz val="8"/>
        <rFont val="Times New Roman"/>
        <family val="1"/>
        <charset val="204"/>
      </rPr>
      <t>(физико-химический м-д)</t>
    </r>
  </si>
  <si>
    <t>12.26.</t>
  </si>
  <si>
    <r>
      <t xml:space="preserve">Сухой остаток </t>
    </r>
    <r>
      <rPr>
        <sz val="8"/>
        <rFont val="Times New Roman"/>
        <family val="1"/>
        <charset val="204"/>
      </rPr>
      <t>(физико-химический м-д)</t>
    </r>
  </si>
  <si>
    <t>12.27.</t>
  </si>
  <si>
    <r>
      <t xml:space="preserve">Кальций </t>
    </r>
    <r>
      <rPr>
        <sz val="8"/>
        <rFont val="Times New Roman"/>
        <family val="1"/>
        <charset val="204"/>
      </rPr>
      <t>(физико-химический м-д)</t>
    </r>
  </si>
  <si>
    <t>12.28</t>
  </si>
  <si>
    <r>
      <t xml:space="preserve">БПК </t>
    </r>
    <r>
      <rPr>
        <sz val="8"/>
        <rFont val="Times New Roman"/>
        <family val="1"/>
        <charset val="204"/>
      </rPr>
      <t>(физико-химический м-д)</t>
    </r>
  </si>
  <si>
    <t>Исследование соскобов, санитарных смывов</t>
  </si>
  <si>
    <t>13.1.</t>
  </si>
  <si>
    <t>Микробиологическое исследование (за 1 смыв)</t>
  </si>
  <si>
    <t>13.2.</t>
  </si>
  <si>
    <t>Качество дезинфекции (за 1 смыв)</t>
  </si>
  <si>
    <t>13.3.</t>
  </si>
  <si>
    <t>Исследование соскобов со стен холодильных камер на плесени (1 камера)</t>
  </si>
  <si>
    <t>13.4.</t>
  </si>
  <si>
    <t>Микробиологическое исследование воздуха (бакобсемененность)</t>
  </si>
  <si>
    <t>13.4.1.</t>
  </si>
  <si>
    <t>Микробиологическое исследование воздуха (плесень)</t>
  </si>
  <si>
    <t>Паразитологические исследования</t>
  </si>
  <si>
    <t>14.1.</t>
  </si>
  <si>
    <r>
      <t xml:space="preserve">Пчелы-акарапидоз,нозематоз,браулез,варроатоз (одна пчелосемья) </t>
    </r>
    <r>
      <rPr>
        <sz val="8"/>
        <rFont val="Times New Roman"/>
        <family val="1"/>
        <charset val="204"/>
      </rPr>
      <t>(микроскопический м-д)</t>
    </r>
  </si>
  <si>
    <t>14.2.</t>
  </si>
  <si>
    <r>
      <t xml:space="preserve">Пироплазмоз,токсоплазмоз                          </t>
    </r>
    <r>
      <rPr>
        <sz val="8"/>
        <rFont val="Times New Roman"/>
        <family val="1"/>
        <charset val="204"/>
      </rPr>
      <t>(микроскопический м-д)</t>
    </r>
  </si>
  <si>
    <t>14.3.</t>
  </si>
  <si>
    <r>
      <t xml:space="preserve">Ихтиопатологические исследования (паразитарная чистота рыбы) </t>
    </r>
    <r>
      <rPr>
        <sz val="8"/>
        <rFont val="Times New Roman"/>
        <family val="1"/>
        <charset val="204"/>
      </rPr>
      <t>(патологоанатомический, микроскопический м-д)</t>
    </r>
  </si>
  <si>
    <t>14.4.</t>
  </si>
  <si>
    <r>
      <t xml:space="preserve">Трихинеллез  </t>
    </r>
    <r>
      <rPr>
        <sz val="8"/>
        <rFont val="Times New Roman"/>
        <family val="1"/>
        <charset val="204"/>
      </rPr>
      <t>(микроскопический м-д)</t>
    </r>
  </si>
  <si>
    <t>14.5.</t>
  </si>
  <si>
    <r>
      <t>Исследование на паразитарные болезни мяса и мясопродуктов (эхиноккоз, саркотцестоз,и др.)</t>
    </r>
    <r>
      <rPr>
        <sz val="8"/>
        <rFont val="Times New Roman"/>
        <family val="1"/>
        <charset val="204"/>
      </rPr>
      <t xml:space="preserve">  (микроскопический м-д)</t>
    </r>
  </si>
  <si>
    <t>14.6.</t>
  </si>
  <si>
    <t>Копрологические исследования (животных)</t>
  </si>
  <si>
    <t>Радиологические исследования</t>
  </si>
  <si>
    <t>15.1.</t>
  </si>
  <si>
    <t>Измерение гамма-фона местности при отборе проб(в 3-х точках)</t>
  </si>
  <si>
    <t>15.2.</t>
  </si>
  <si>
    <t xml:space="preserve">Измерение мощности гамма-излучения </t>
  </si>
  <si>
    <t>15.3.</t>
  </si>
  <si>
    <t>Измерения шума</t>
  </si>
  <si>
    <t>15.4.</t>
  </si>
  <si>
    <t>Измерение  освещенности</t>
  </si>
  <si>
    <t xml:space="preserve">Исследование кормов и кормовых добавок </t>
  </si>
  <si>
    <t>16.1.</t>
  </si>
  <si>
    <t>Санитарно-микологическое исследование кормов</t>
  </si>
  <si>
    <t>16.2.</t>
  </si>
  <si>
    <r>
      <t xml:space="preserve">Определение выделение микроскопических грибов в кормах </t>
    </r>
    <r>
      <rPr>
        <sz val="8"/>
        <rFont val="Times New Roman"/>
        <family val="1"/>
        <charset val="204"/>
      </rPr>
      <t>(микроскопическийм-д)</t>
    </r>
  </si>
  <si>
    <t>16.3.</t>
  </si>
  <si>
    <t>Определение токсичности кормов биопробой на белых мышах, кроликах</t>
  </si>
  <si>
    <t>16.4.</t>
  </si>
  <si>
    <t>Определение токсичности биопробой на инфузориях стилониях</t>
  </si>
  <si>
    <t>16.5.</t>
  </si>
  <si>
    <r>
      <t xml:space="preserve">Определение спор головневых грибов </t>
    </r>
    <r>
      <rPr>
        <sz val="8"/>
        <rFont val="Times New Roman"/>
        <family val="1"/>
        <charset val="204"/>
      </rPr>
      <t>(визуальный м-д)</t>
    </r>
  </si>
  <si>
    <t>16.6.</t>
  </si>
  <si>
    <r>
      <t>Определение содержания спорыньи в к/кормах и продуктах переработки зерна</t>
    </r>
    <r>
      <rPr>
        <sz val="8"/>
        <rFont val="Times New Roman"/>
        <family val="1"/>
        <charset val="204"/>
      </rPr>
      <t xml:space="preserve"> (визуальный м-д)</t>
    </r>
  </si>
  <si>
    <t>16.7.</t>
  </si>
  <si>
    <r>
      <t xml:space="preserve">Определение нитритов </t>
    </r>
    <r>
      <rPr>
        <i/>
        <sz val="9"/>
        <rFont val="Times New Roman"/>
        <family val="1"/>
        <charset val="204"/>
      </rPr>
      <t>фотометрический метод</t>
    </r>
  </si>
  <si>
    <t>16.8.</t>
  </si>
  <si>
    <r>
      <t xml:space="preserve">Определение концентрации нитратов микропроцессорным измерителем "Микон" </t>
    </r>
    <r>
      <rPr>
        <i/>
        <sz val="11"/>
        <rFont val="Times New Roman"/>
        <family val="1"/>
        <charset val="204"/>
      </rPr>
      <t>(ионометрический м-д)</t>
    </r>
  </si>
  <si>
    <t>16.9.</t>
  </si>
  <si>
    <r>
      <t xml:space="preserve">Определение перекисного числа в кормах животного и растительного происхождения </t>
    </r>
    <r>
      <rPr>
        <i/>
        <sz val="12"/>
        <rFont val="Times New Roman"/>
        <family val="1"/>
        <charset val="204"/>
      </rPr>
      <t>(химический м-д)</t>
    </r>
  </si>
  <si>
    <t>16.10.</t>
  </si>
  <si>
    <r>
      <t xml:space="preserve">Определение кислотного числа в кормах животного и растительного происхождения </t>
    </r>
    <r>
      <rPr>
        <sz val="8"/>
        <rFont val="Times New Roman"/>
        <family val="1"/>
        <charset val="204"/>
      </rPr>
      <t>(химический м-д)</t>
    </r>
  </si>
  <si>
    <t>16.11.</t>
  </si>
  <si>
    <r>
      <t xml:space="preserve">Механических примесей                              </t>
    </r>
    <r>
      <rPr>
        <sz val="8"/>
        <rFont val="Times New Roman"/>
        <family val="1"/>
        <charset val="204"/>
      </rPr>
      <t>(физико-химический м-д)</t>
    </r>
  </si>
  <si>
    <t>16.12.</t>
  </si>
  <si>
    <r>
      <t>Определение минеральных примесей нерастворимых в соляной кислоте</t>
    </r>
    <r>
      <rPr>
        <sz val="8"/>
        <rFont val="Times New Roman"/>
        <family val="1"/>
        <charset val="204"/>
      </rPr>
      <t xml:space="preserve"> (физико-химический м-д)</t>
    </r>
  </si>
  <si>
    <t>16.13.</t>
  </si>
  <si>
    <r>
      <t xml:space="preserve">Определение уреазы </t>
    </r>
    <r>
      <rPr>
        <sz val="8"/>
        <rFont val="Times New Roman"/>
        <family val="1"/>
        <charset val="204"/>
      </rPr>
      <t>(ионометрический м-д)</t>
    </r>
  </si>
  <si>
    <t>16.14.</t>
  </si>
  <si>
    <r>
      <t xml:space="preserve">Сырого протеина  </t>
    </r>
    <r>
      <rPr>
        <sz val="8"/>
        <rFont val="Times New Roman"/>
        <family val="1"/>
        <charset val="204"/>
      </rPr>
      <t>(физико-химический м-д)</t>
    </r>
  </si>
  <si>
    <t>16.15.</t>
  </si>
  <si>
    <r>
      <t xml:space="preserve">Влаги </t>
    </r>
    <r>
      <rPr>
        <sz val="8"/>
        <rFont val="Times New Roman"/>
        <family val="1"/>
        <charset val="204"/>
      </rPr>
      <t>(физико-химический м-д)</t>
    </r>
  </si>
  <si>
    <t>16.16.</t>
  </si>
  <si>
    <r>
      <t>Кальция</t>
    </r>
    <r>
      <rPr>
        <sz val="8"/>
        <rFont val="Times New Roman"/>
        <family val="1"/>
        <charset val="204"/>
      </rPr>
      <t xml:space="preserve"> (физико-химический м-д)</t>
    </r>
  </si>
  <si>
    <t>16.17.</t>
  </si>
  <si>
    <r>
      <t xml:space="preserve">Фосфора </t>
    </r>
    <r>
      <rPr>
        <sz val="8"/>
        <rFont val="Times New Roman"/>
        <family val="1"/>
        <charset val="204"/>
      </rPr>
      <t>(физико-химический м-д)</t>
    </r>
  </si>
  <si>
    <t>16.18.</t>
  </si>
  <si>
    <t>Органолептические показатели</t>
  </si>
  <si>
    <t>16.19.</t>
  </si>
  <si>
    <r>
      <t xml:space="preserve">Зола  </t>
    </r>
    <r>
      <rPr>
        <sz val="8"/>
        <rFont val="Times New Roman"/>
        <family val="1"/>
        <charset val="204"/>
      </rPr>
      <t>(физико-химический м-д)</t>
    </r>
  </si>
  <si>
    <t>16.20.</t>
  </si>
  <si>
    <r>
      <t xml:space="preserve">Жир </t>
    </r>
    <r>
      <rPr>
        <sz val="8"/>
        <rFont val="Times New Roman"/>
        <family val="1"/>
        <charset val="204"/>
      </rPr>
      <t xml:space="preserve"> (физико-химический м-д)</t>
    </r>
  </si>
  <si>
    <t>16.21.</t>
  </si>
  <si>
    <t>16.22.</t>
  </si>
  <si>
    <r>
      <t xml:space="preserve">Сырой клетчатки </t>
    </r>
    <r>
      <rPr>
        <sz val="8"/>
        <rFont val="Times New Roman"/>
        <family val="1"/>
        <charset val="204"/>
      </rPr>
      <t xml:space="preserve"> (физико-химический м-д)</t>
    </r>
  </si>
  <si>
    <t>16.23.</t>
  </si>
  <si>
    <r>
      <t xml:space="preserve">Определение  органических кислот при порче кормов (уксусная, масляная, молочная) </t>
    </r>
    <r>
      <rPr>
        <sz val="8"/>
        <rFont val="Times New Roman"/>
        <family val="1"/>
        <charset val="204"/>
      </rPr>
      <t xml:space="preserve"> (физико-химический м-д)</t>
    </r>
  </si>
  <si>
    <t>16.24.</t>
  </si>
  <si>
    <t>16.25.</t>
  </si>
  <si>
    <r>
      <rPr>
        <sz val="11"/>
        <rFont val="Times New Roman"/>
        <family val="1"/>
        <charset val="204"/>
      </rPr>
      <t>Крупность помола в кормах</t>
    </r>
    <r>
      <rPr>
        <sz val="7"/>
        <rFont val="Times New Roman"/>
        <family val="1"/>
        <charset val="204"/>
      </rPr>
      <t>(физико-химический м-д)</t>
    </r>
  </si>
  <si>
    <t>16.26.</t>
  </si>
  <si>
    <r>
      <t xml:space="preserve">Мочевина  </t>
    </r>
    <r>
      <rPr>
        <sz val="8"/>
        <rFont val="Times New Roman"/>
        <family val="1"/>
        <charset val="204"/>
      </rPr>
      <t>(физико-химический м-д)</t>
    </r>
  </si>
  <si>
    <t>16.27.</t>
  </si>
  <si>
    <r>
      <t xml:space="preserve">Синильная кислота </t>
    </r>
    <r>
      <rPr>
        <sz val="8"/>
        <rFont val="Times New Roman"/>
        <family val="1"/>
        <charset val="204"/>
      </rPr>
      <t>(физико-химический м-д)</t>
    </r>
  </si>
  <si>
    <t>16.28.</t>
  </si>
  <si>
    <r>
      <t xml:space="preserve">Фосфорорганические соединения </t>
    </r>
    <r>
      <rPr>
        <sz val="8"/>
        <rFont val="Times New Roman"/>
        <family val="1"/>
        <charset val="204"/>
      </rPr>
      <t>(фотометрический м-д)</t>
    </r>
  </si>
  <si>
    <t>16.29.</t>
  </si>
  <si>
    <r>
      <t xml:space="preserve">Алкалоиды  </t>
    </r>
    <r>
      <rPr>
        <sz val="8"/>
        <rFont val="Times New Roman"/>
        <family val="1"/>
        <charset val="204"/>
      </rPr>
      <t>(физико-химический м-д)</t>
    </r>
  </si>
  <si>
    <t>16.30.</t>
  </si>
  <si>
    <r>
      <t xml:space="preserve">Определение госсипола                               </t>
    </r>
    <r>
      <rPr>
        <sz val="8"/>
        <rFont val="Times New Roman"/>
        <family val="1"/>
        <charset val="204"/>
      </rPr>
      <t>(физико-химический м-д)</t>
    </r>
  </si>
  <si>
    <t>16.31.</t>
  </si>
  <si>
    <r>
      <t xml:space="preserve">Поваренная  соль </t>
    </r>
    <r>
      <rPr>
        <sz val="8"/>
        <rFont val="Times New Roman"/>
        <family val="1"/>
        <charset val="204"/>
      </rPr>
      <t>(физико-химический м-д)</t>
    </r>
  </si>
  <si>
    <t>16.32.</t>
  </si>
  <si>
    <t>16.33.</t>
  </si>
  <si>
    <r>
      <t xml:space="preserve">Синегнойная палочка </t>
    </r>
    <r>
      <rPr>
        <sz val="8"/>
        <rFont val="Times New Roman"/>
        <family val="1"/>
        <charset val="204"/>
      </rPr>
      <t>(бактериологический м-д)</t>
    </r>
  </si>
  <si>
    <t>16.34.</t>
  </si>
  <si>
    <r>
      <t xml:space="preserve">Кишечная палочка </t>
    </r>
    <r>
      <rPr>
        <sz val="8"/>
        <rFont val="Times New Roman"/>
        <family val="1"/>
        <charset val="204"/>
      </rPr>
      <t xml:space="preserve">(бактериологический м-д) </t>
    </r>
  </si>
  <si>
    <t>16.35.</t>
  </si>
  <si>
    <r>
      <t xml:space="preserve">Пастереллы </t>
    </r>
    <r>
      <rPr>
        <sz val="8"/>
        <rFont val="Times New Roman"/>
        <family val="1"/>
        <charset val="204"/>
      </rPr>
      <t>(бактериологический м-д)</t>
    </r>
  </si>
  <si>
    <t>16.36.</t>
  </si>
  <si>
    <r>
      <t xml:space="preserve">Энтерококки </t>
    </r>
    <r>
      <rPr>
        <sz val="8"/>
        <rFont val="Times New Roman"/>
        <family val="1"/>
        <charset val="204"/>
      </rPr>
      <t>(бактериологический м-д)</t>
    </r>
  </si>
  <si>
    <t>16.37.</t>
  </si>
  <si>
    <r>
      <t xml:space="preserve">Протей </t>
    </r>
    <r>
      <rPr>
        <sz val="8"/>
        <rFont val="Times New Roman"/>
        <family val="1"/>
        <charset val="204"/>
      </rPr>
      <t>(бактериологический м-д)</t>
    </r>
  </si>
  <si>
    <t>16.38.</t>
  </si>
  <si>
    <r>
      <t xml:space="preserve">Токсинообразующие анаэробы </t>
    </r>
    <r>
      <rPr>
        <sz val="8"/>
        <rFont val="Times New Roman"/>
        <family val="1"/>
        <charset val="204"/>
      </rPr>
      <t>(бактериологический м-д)</t>
    </r>
  </si>
  <si>
    <t>16.39.</t>
  </si>
  <si>
    <r>
      <rPr>
        <sz val="11"/>
        <rFont val="Times New Roman"/>
        <family val="1"/>
        <charset val="204"/>
      </rPr>
      <t>Общемикробное число</t>
    </r>
    <r>
      <rPr>
        <sz val="12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(бактериологический м-д)</t>
    </r>
  </si>
  <si>
    <t>16.40.</t>
  </si>
  <si>
    <t>Бактериологическое  исследование на соответствие требованиям  «Правил бак. исслед. кормов»</t>
  </si>
  <si>
    <t>16.41.</t>
  </si>
  <si>
    <r>
      <t xml:space="preserve">Определение ботулинических токсинов </t>
    </r>
    <r>
      <rPr>
        <sz val="9"/>
        <rFont val="Times New Roman"/>
        <family val="1"/>
        <charset val="204"/>
      </rPr>
      <t>(микробиологический м-д)</t>
    </r>
  </si>
  <si>
    <t>16.42.</t>
  </si>
  <si>
    <r>
      <rPr>
        <sz val="11"/>
        <rFont val="Times New Roman"/>
        <family val="1"/>
        <charset val="204"/>
      </rPr>
      <t xml:space="preserve">Массовая доля каротина </t>
    </r>
    <r>
      <rPr>
        <sz val="8"/>
        <rFont val="Times New Roman"/>
        <family val="1"/>
        <charset val="204"/>
      </rPr>
      <t>(физико-химический м-д)</t>
    </r>
  </si>
  <si>
    <t>16.43.</t>
  </si>
  <si>
    <r>
      <rPr>
        <sz val="11"/>
        <rFont val="Times New Roman"/>
        <family val="1"/>
        <charset val="204"/>
      </rPr>
      <t>Массовая доля крахмала</t>
    </r>
    <r>
      <rPr>
        <sz val="8"/>
        <rFont val="Times New Roman"/>
        <family val="1"/>
        <charset val="204"/>
      </rPr>
      <t>(физико-химический м-д)</t>
    </r>
  </si>
  <si>
    <t>16.44.</t>
  </si>
  <si>
    <r>
      <rPr>
        <sz val="11"/>
        <rFont val="Times New Roman"/>
        <family val="1"/>
        <charset val="204"/>
      </rPr>
      <t xml:space="preserve">Массовая доля антиокислителей </t>
    </r>
    <r>
      <rPr>
        <sz val="9"/>
        <rFont val="Times New Roman"/>
        <family val="1"/>
        <charset val="204"/>
      </rPr>
      <t xml:space="preserve"> (физико-химический м-д)</t>
    </r>
  </si>
  <si>
    <t>Исследования инкубационного яйца</t>
  </si>
  <si>
    <t>17.1.</t>
  </si>
  <si>
    <r>
      <t xml:space="preserve">Определение каратиноидов в яйце            </t>
    </r>
    <r>
      <rPr>
        <sz val="8"/>
        <rFont val="Times New Roman"/>
        <family val="1"/>
        <charset val="204"/>
      </rPr>
      <t>(физико-химический м-д)</t>
    </r>
  </si>
  <si>
    <t>17.2.</t>
  </si>
  <si>
    <r>
      <t xml:space="preserve">Определение витамина "А"                         </t>
    </r>
    <r>
      <rPr>
        <sz val="8"/>
        <rFont val="Times New Roman"/>
        <family val="1"/>
        <charset val="204"/>
      </rPr>
      <t>(физико-химический м-д)</t>
    </r>
  </si>
  <si>
    <t>17.3.</t>
  </si>
  <si>
    <r>
      <t xml:space="preserve">Определение витамина «В2»                      </t>
    </r>
    <r>
      <rPr>
        <sz val="8"/>
        <rFont val="Times New Roman"/>
        <family val="1"/>
        <charset val="204"/>
      </rPr>
      <t xml:space="preserve"> (физико-химический м-д)</t>
    </r>
  </si>
  <si>
    <t>17.4.</t>
  </si>
  <si>
    <r>
      <t xml:space="preserve">Вит «А» в печени  </t>
    </r>
    <r>
      <rPr>
        <sz val="8"/>
        <rFont val="Times New Roman"/>
        <family val="1"/>
        <charset val="204"/>
      </rPr>
      <t>(физико-химический м-д)</t>
    </r>
  </si>
  <si>
    <t>17.5.</t>
  </si>
  <si>
    <r>
      <t xml:space="preserve">Вит «В2»  в печени </t>
    </r>
    <r>
      <rPr>
        <sz val="8"/>
        <rFont val="Times New Roman"/>
        <family val="1"/>
        <charset val="204"/>
      </rPr>
      <t xml:space="preserve"> (физико-химический м-д)</t>
    </r>
  </si>
  <si>
    <t>17.6.</t>
  </si>
  <si>
    <r>
      <t xml:space="preserve">рН  </t>
    </r>
    <r>
      <rPr>
        <sz val="8"/>
        <rFont val="Times New Roman"/>
        <family val="1"/>
        <charset val="204"/>
      </rPr>
      <t xml:space="preserve"> (ионометрический м-д)</t>
    </r>
  </si>
  <si>
    <t>17.7.</t>
  </si>
  <si>
    <r>
      <t xml:space="preserve">Соотношение желтка, белка, скорлупы </t>
    </r>
    <r>
      <rPr>
        <sz val="8"/>
        <rFont val="Times New Roman"/>
        <family val="1"/>
        <charset val="204"/>
      </rPr>
      <t>(физический м-д)</t>
    </r>
  </si>
  <si>
    <t>17.8.</t>
  </si>
  <si>
    <r>
      <t xml:space="preserve">Толщина скорлупы  </t>
    </r>
    <r>
      <rPr>
        <sz val="8"/>
        <rFont val="Times New Roman"/>
        <family val="1"/>
        <charset val="204"/>
      </rPr>
      <t>(физический м-д)</t>
    </r>
  </si>
  <si>
    <t>17.9.</t>
  </si>
  <si>
    <r>
      <t xml:space="preserve">Кислотное число  </t>
    </r>
    <r>
      <rPr>
        <sz val="8"/>
        <rFont val="Times New Roman"/>
        <family val="1"/>
        <charset val="204"/>
      </rPr>
      <t>(химический м-д)</t>
    </r>
  </si>
  <si>
    <t>Дезинфицирующие средства:</t>
  </si>
  <si>
    <t>18.1.</t>
  </si>
  <si>
    <r>
      <t xml:space="preserve">Определение активного хлора в сухой хлорной извести </t>
    </r>
    <r>
      <rPr>
        <sz val="8"/>
        <rFont val="Times New Roman"/>
        <family val="1"/>
        <charset val="204"/>
      </rPr>
      <t>(химический м-д)</t>
    </r>
  </si>
  <si>
    <t>18.2.</t>
  </si>
  <si>
    <r>
      <t xml:space="preserve">Определение активного хлора в растворе  </t>
    </r>
    <r>
      <rPr>
        <sz val="8"/>
        <rFont val="Times New Roman"/>
        <family val="1"/>
        <charset val="204"/>
      </rPr>
      <t>(химический м-д)</t>
    </r>
  </si>
  <si>
    <t>18.3.</t>
  </si>
  <si>
    <r>
      <t xml:space="preserve">Определение действующего вещества в растворе дезинфектанта  </t>
    </r>
    <r>
      <rPr>
        <sz val="8"/>
        <rFont val="Times New Roman"/>
        <family val="1"/>
        <charset val="204"/>
      </rPr>
      <t>(химический м-д)</t>
    </r>
  </si>
  <si>
    <t>Прочие услуги</t>
  </si>
  <si>
    <t>19.1.</t>
  </si>
  <si>
    <t>Консультация  за 0,5 часа, письменные рекомендации</t>
  </si>
  <si>
    <t>1 консультация</t>
  </si>
  <si>
    <t>19.2.</t>
  </si>
  <si>
    <t>Оформление и выдача  экспертиз на исследуемый материал</t>
  </si>
  <si>
    <t>экз.</t>
  </si>
  <si>
    <t>19.3.</t>
  </si>
  <si>
    <t>Оформление и выдача протокола испытаний продовольствия и сырья животного  и растительного происхождения для целей сертификации</t>
  </si>
  <si>
    <t>Определение качества пестицидов</t>
  </si>
  <si>
    <t>20.1.</t>
  </si>
  <si>
    <t xml:space="preserve">Определение процента содержания действующего вещества   колоритметрическим методом                     </t>
  </si>
  <si>
    <t>20.2.</t>
  </si>
  <si>
    <t xml:space="preserve">Определение процента содержания действующего вещества                                                      -методом газовой  хроматографии - </t>
  </si>
  <si>
    <t>20.3.</t>
  </si>
  <si>
    <t xml:space="preserve">Определение процента содержания действующего вещества                                                                    -методом жидкостной хроматографии - </t>
  </si>
  <si>
    <t>21. Диагностические исследования инфекций</t>
  </si>
  <si>
    <t>21.1.</t>
  </si>
  <si>
    <t>Болезнь Ньюкасла</t>
  </si>
  <si>
    <t>21.1.2.</t>
  </si>
  <si>
    <t>методом ИФА</t>
  </si>
  <si>
    <t>21.2.</t>
  </si>
  <si>
    <t>Высокопатогенный грипп А</t>
  </si>
  <si>
    <t>21.2.1.</t>
  </si>
  <si>
    <t>21.2.2.</t>
  </si>
  <si>
    <t>методом ПЦР</t>
  </si>
  <si>
    <t>21.3.</t>
  </si>
  <si>
    <t>Классическая чума свиней</t>
  </si>
  <si>
    <t>21.3.1.</t>
  </si>
  <si>
    <t>21.3.2.</t>
  </si>
  <si>
    <t>21.4.</t>
  </si>
  <si>
    <t>Репродуктивно-респираторный  синдром свиней</t>
  </si>
  <si>
    <t>21.4.1.</t>
  </si>
  <si>
    <t>21.4.2.</t>
  </si>
  <si>
    <t>21.5.</t>
  </si>
  <si>
    <t>Сибирская язва</t>
  </si>
  <si>
    <t>21.5.1.</t>
  </si>
  <si>
    <t>21.6.</t>
  </si>
  <si>
    <t>Африканская чума свиней</t>
  </si>
  <si>
    <t>21.6.1.</t>
  </si>
  <si>
    <t>21.6.2.</t>
  </si>
  <si>
    <t>21.7.</t>
  </si>
  <si>
    <t>Вирусная геморагиическая болезнь кроликов (ВГБК)</t>
  </si>
  <si>
    <t>21.7.1.</t>
  </si>
  <si>
    <t>21.8.</t>
  </si>
  <si>
    <t>Катаральная лихорадка овец (блютанг)</t>
  </si>
  <si>
    <t>21.8.1.</t>
  </si>
  <si>
    <t>Исследование сыворотки крови твердофазным ИФА</t>
  </si>
  <si>
    <t>21.8.2.</t>
  </si>
  <si>
    <t>Исследование крови методом ПЦР</t>
  </si>
  <si>
    <t>21.9.</t>
  </si>
  <si>
    <t>Бруцеллез</t>
  </si>
  <si>
    <t>21.9.1.</t>
  </si>
  <si>
    <t>21.9.2.</t>
  </si>
  <si>
    <t>меняем</t>
  </si>
  <si>
    <t>21.10.</t>
  </si>
  <si>
    <t>Лептоспироз</t>
  </si>
  <si>
    <t>21.10.1.</t>
  </si>
  <si>
    <t>21.11.</t>
  </si>
  <si>
    <t>Туберкулез</t>
  </si>
  <si>
    <t>21.11.1.</t>
  </si>
  <si>
    <t>21.12.</t>
  </si>
  <si>
    <t xml:space="preserve">Сальмонеллез </t>
  </si>
  <si>
    <t>21.12.1.</t>
  </si>
  <si>
    <t>Бактериологическое исследование</t>
  </si>
  <si>
    <t>меняли</t>
  </si>
  <si>
    <t>21.13.</t>
  </si>
  <si>
    <t>Американский гнилец</t>
  </si>
  <si>
    <t>21.13.1.</t>
  </si>
  <si>
    <t>21.14.</t>
  </si>
  <si>
    <t>Европейский гнилец</t>
  </si>
  <si>
    <t>21.14.1.</t>
  </si>
  <si>
    <t>21.15.</t>
  </si>
  <si>
    <t>Орнитоз методом ПЦР</t>
  </si>
  <si>
    <t>21.16.</t>
  </si>
  <si>
    <t>Листериоз методом ПЦР</t>
  </si>
  <si>
    <t>21.17.</t>
  </si>
  <si>
    <t>Лейкоз КРС методом ПЦР</t>
  </si>
  <si>
    <t>21.17.1</t>
  </si>
  <si>
    <t>Лейкоз КРС методом ИФА</t>
  </si>
  <si>
    <t>21.18.</t>
  </si>
  <si>
    <t>Вирусный ринотрахеит методом ПЦР</t>
  </si>
  <si>
    <t>21.19.</t>
  </si>
  <si>
    <t>Узелковый нодулярный дерматит  ПЦР</t>
  </si>
  <si>
    <t>21.19.1</t>
  </si>
  <si>
    <t>Узелковый нодулярный дерматит  ИФА</t>
  </si>
  <si>
    <t>№                                   п/п</t>
  </si>
  <si>
    <t>Вид услуги</t>
  </si>
  <si>
    <t>НДС  20%               (руб.)</t>
  </si>
  <si>
    <t>Стоимость услуг                                                 (с НДС)   (руб.)</t>
  </si>
  <si>
    <t>Определение объема выборки (зерна, муки, крупы)</t>
  </si>
  <si>
    <t>1 проба</t>
  </si>
  <si>
    <t>Отбор точечных проб ручным щупом:</t>
  </si>
  <si>
    <t>с автомобилей</t>
  </si>
  <si>
    <t>Хранящихся насыпью в складах, силосах элеватора, при погрузке и выгрузке вагонов</t>
  </si>
  <si>
    <t>из зашитых мешков</t>
  </si>
  <si>
    <t>из струи перемещаемого продукта</t>
  </si>
  <si>
    <t>Составление объединенной пробы</t>
  </si>
  <si>
    <t>зерна</t>
  </si>
  <si>
    <t>муки, крупы</t>
  </si>
  <si>
    <t>комбикорм, жмыха, шрота, премикса</t>
  </si>
  <si>
    <t>Выделение средних проб из объединенной</t>
  </si>
  <si>
    <t>зерна, муки, крупы</t>
  </si>
  <si>
    <t>комбикорма, жмыха, шрота, премикса</t>
  </si>
  <si>
    <t>Определение зараженности хлебных запасов путем просеивания средней пробы:</t>
  </si>
  <si>
    <t>зерна в явной форме</t>
  </si>
  <si>
    <t>1 исследование</t>
  </si>
  <si>
    <t>зерно</t>
  </si>
  <si>
    <t>зерна в скрытой форме</t>
  </si>
  <si>
    <t>1  исследование</t>
  </si>
  <si>
    <t>муки, отрубей</t>
  </si>
  <si>
    <t>крупы</t>
  </si>
  <si>
    <t>макаронных изделий</t>
  </si>
  <si>
    <t>1исследование</t>
  </si>
  <si>
    <t>Определение загрязненности мертвыми насекомыми-вредителями путем просеивания средней пробы</t>
  </si>
  <si>
    <t>Определение металломагнитной примеси</t>
  </si>
  <si>
    <t>зерна,муки,крупы, отрубей</t>
  </si>
  <si>
    <t>Определение натуры с применением пурки</t>
  </si>
  <si>
    <t>Определение насыпной плотности, "масса гектолитра"</t>
  </si>
  <si>
    <t>Выделение навесок для анализов</t>
  </si>
  <si>
    <t>муки, крупы, отрубей</t>
  </si>
  <si>
    <t>Определение влажности воздушно-тепловым методом:</t>
  </si>
  <si>
    <t>с предварительным подсушиванием</t>
  </si>
  <si>
    <t xml:space="preserve">без предварительного подсушивания  </t>
  </si>
  <si>
    <t>кукурузы в початках</t>
  </si>
  <si>
    <t>Опредение органолептических показателей</t>
  </si>
  <si>
    <t>цвет</t>
  </si>
  <si>
    <t>запах в целом зерне</t>
  </si>
  <si>
    <t>запах в целом зерне с прогревом</t>
  </si>
  <si>
    <t>запах в целом зерне с пропариванием</t>
  </si>
  <si>
    <t>запах в размолотом зерне с прогревом</t>
  </si>
  <si>
    <t>запах в размолотом зерне с пропариванием</t>
  </si>
  <si>
    <t>запах муки, крупы с прогревом пробы</t>
  </si>
  <si>
    <t>запах муки, крупы без прогрева пробы</t>
  </si>
  <si>
    <t>запах комбикорма, жмыха, шрота, премикса</t>
  </si>
  <si>
    <t>вкус муки, крупы</t>
  </si>
  <si>
    <t>Определение минеральной примеси методом ручной разборки:</t>
  </si>
  <si>
    <t>Зерна</t>
  </si>
  <si>
    <t>Крупы,  муки, отрубей, хлебобулочных и макаронных изделий</t>
  </si>
  <si>
    <t>Определение общего и фракционного содержания  зерновой примеси методом ручной разборки.</t>
  </si>
  <si>
    <t>Определение масличной примеси методом ручной разборки.</t>
  </si>
  <si>
    <t>Определение содержания поврежденных зёрен методом ручной разборки.</t>
  </si>
  <si>
    <t>Определение содержания сорной примеси методом ручной разборки.</t>
  </si>
  <si>
    <t>Определение содержания неошелушенных семян методом ручной разборки.</t>
  </si>
  <si>
    <t>Определение доброкачественного ядра расчетно-весовым методом.</t>
  </si>
  <si>
    <t>Определение вредной примеси методом ручной разборки.</t>
  </si>
  <si>
    <t>Определение особо учитываемой примеси методом ручной разборки.</t>
  </si>
  <si>
    <t>Определение трудноотделимой примеси методом ручной разборки.</t>
  </si>
  <si>
    <t>Определение содержания фузариозных и розовоокрашенных зерен методом ручной разборки.</t>
  </si>
  <si>
    <t>Определение содержания испорченных и поврежденных зерен методом ручной разборки.</t>
  </si>
  <si>
    <t>Определение содержания органической примеси методом ручной разборки.</t>
  </si>
  <si>
    <t>Определение содержания пожелтевших зерен риса методом ручной разборки.</t>
  </si>
  <si>
    <t>Определение содержания глютинозных зерен риса методом ручной разборки.</t>
  </si>
  <si>
    <t>Определение содержания красных зерен риса методом ручной разборки.</t>
  </si>
  <si>
    <t>Определение содержания семян, поврежденных гороховой зерновкой и листоверткой методом ручной разборки.</t>
  </si>
  <si>
    <t>Определение недодира (перловая и ячневая крупа) методом ручной разборки:</t>
  </si>
  <si>
    <t>без окрашивания</t>
  </si>
  <si>
    <t>метод окрашивания марганцовокислым калием</t>
  </si>
  <si>
    <t>Определение лузжистости методом ручной разборки.</t>
  </si>
  <si>
    <t>Определение стекловидности методами:</t>
  </si>
  <si>
    <t>по результатам осмотра среза зерна</t>
  </si>
  <si>
    <t>на диафаноскопе</t>
  </si>
  <si>
    <t>Определение типового состава методом ручной разборки навески.</t>
  </si>
  <si>
    <t>Определение пленчатости при определении пленок вручную.</t>
  </si>
  <si>
    <t>Определение массовой доли ядра (с учетом показателей, входящих в формулу)  расчетным методом.</t>
  </si>
  <si>
    <t>Определение количества и качества клейковины ручным способом методом отмывки:</t>
  </si>
  <si>
    <t>в зерне</t>
  </si>
  <si>
    <t>в муке</t>
  </si>
  <si>
    <t xml:space="preserve">Определение содержания сырой клейковины в пшенице и пшеничной муке, поставляемой для экспорта, ручной  метод </t>
  </si>
  <si>
    <t>Определение числа падения (без влажности) методом определения числа падения.</t>
  </si>
  <si>
    <t>Определение зерен, поврежденных клопом черепашкой визуальным методом.</t>
  </si>
  <si>
    <t>Определение зольности.</t>
  </si>
  <si>
    <t>Определение белизны с применением фотоэлектрического прибора.</t>
  </si>
  <si>
    <t>Определение крупности методом просеивания навески на рассеве лабораторном:</t>
  </si>
  <si>
    <t>помола и номера крупы</t>
  </si>
  <si>
    <t>зерна, помола муки</t>
  </si>
  <si>
    <t>комбикормов (компонентов)</t>
  </si>
  <si>
    <t>Определение содержания мелких зерен расчетно-весовым методом.</t>
  </si>
  <si>
    <t>Определение развариваемости крупы, хлопьев методом варки.</t>
  </si>
  <si>
    <t>Определение кислотности:</t>
  </si>
  <si>
    <t>зерна (по болтушке)</t>
  </si>
  <si>
    <t>муки, хлебобулочных и макаронных изделий</t>
  </si>
  <si>
    <t>Определение кислотного числа масла методом титрования масла извлеченного из семян прессованием.</t>
  </si>
  <si>
    <t>Определение масличности по прибору ЯМР</t>
  </si>
  <si>
    <t>Внешний вид, цвет, запах, поверхность, форма хлебобулочных и макаронных изделий визуальным методом.</t>
  </si>
  <si>
    <t>Состояние мякиша методом ручного надавливания.</t>
  </si>
  <si>
    <t>Пористость мякиша с применением прибора Журавлева.</t>
  </si>
  <si>
    <t>Пробная выпечка хлеба</t>
  </si>
  <si>
    <t xml:space="preserve">Определение картофельной болезни хлеба </t>
  </si>
  <si>
    <t>Определение массовой доли сахара в хлебобулочных изделиях.</t>
  </si>
  <si>
    <t>Определение массовой доли жира в хлебобулочных изделиях.</t>
  </si>
  <si>
    <t>Щелочность в кондитерских изделиях.</t>
  </si>
  <si>
    <t>Определение сухого вещества, перешедшего в варочную воду методом высушивания.</t>
  </si>
  <si>
    <t>Определение содержания лома, крошки и деформированных изделий (в макаронных изделиях) методом ручной разборки.</t>
  </si>
  <si>
    <t>Определение состояния изделий после варки (в макаронных изделиях) визуалным методом.</t>
  </si>
  <si>
    <t xml:space="preserve">Размол зерна на лабораторной мельнице (для пробной выпечки хлеба, реологических свойств теста).   </t>
  </si>
  <si>
    <t>Определение реологических свойств теста (растяжимость, вид кривой, устойчивость к деформации, энергия деформации, k эластичности) с применением альвеографа.</t>
  </si>
  <si>
    <t>Содержание обменной энергии расчетным методом.</t>
  </si>
  <si>
    <t>Содержание в сухом веществе сырой клетчатки.</t>
  </si>
  <si>
    <t>Содержание в сухом веществе сырого протеина.</t>
  </si>
  <si>
    <t>Содержание в сухом веществе сырого жира.</t>
  </si>
  <si>
    <t>Определение кислотного числа жира.</t>
  </si>
  <si>
    <t>Определение массовой доли поваренной соли.</t>
  </si>
  <si>
    <t>Определение массовой доли кальция.</t>
  </si>
  <si>
    <t>Определение массовой доли фосфора.</t>
  </si>
  <si>
    <t xml:space="preserve">Зола, нерастворимая в 10% соляной кислоте </t>
  </si>
  <si>
    <t>Оказание консультационно-методической помощи в определении качества зерна и продуктов его переработки.</t>
  </si>
  <si>
    <t>стоимость 1 чел.</t>
  </si>
  <si>
    <t>оформление сертификата качества</t>
  </si>
  <si>
    <t>1 экземпляр</t>
  </si>
  <si>
    <t>оформление протокола испытания</t>
  </si>
  <si>
    <t>22.75.</t>
  </si>
  <si>
    <t>Полное качество пшеницы  по ГОСТ Р 52554-2006</t>
  </si>
  <si>
    <t>22.76.</t>
  </si>
  <si>
    <t>Полное качество ржи  по ГОСТ Р 53049-2008</t>
  </si>
  <si>
    <t>22.77.</t>
  </si>
  <si>
    <t>Полное качество ячменя  по ГОСТ 28672-90</t>
  </si>
  <si>
    <t>22.78.</t>
  </si>
  <si>
    <t>Полное качество семян подсолнечника   по ГОСТ 22391-89 (без масличности)</t>
  </si>
  <si>
    <t>22.79.</t>
  </si>
  <si>
    <t>Полное качество гороха  по ГОСТ 28674-90</t>
  </si>
  <si>
    <t>22.80.</t>
  </si>
  <si>
    <t>Полное качество гречихи  по ГОСТ 56105-2014</t>
  </si>
  <si>
    <t>22.81.</t>
  </si>
  <si>
    <t>Полное качество муки пшеничной   по ГОСТ Р 52189-2003</t>
  </si>
  <si>
    <t>22.82.</t>
  </si>
  <si>
    <t>Полное качество муки ржаной  по ГОСТ Р 52809-2007</t>
  </si>
  <si>
    <t>Агрохимические исследования</t>
  </si>
  <si>
    <t>23.1.</t>
  </si>
  <si>
    <r>
      <t xml:space="preserve">Влажность </t>
    </r>
    <r>
      <rPr>
        <sz val="9"/>
        <rFont val="Times New Roman"/>
        <family val="1"/>
        <charset val="204"/>
      </rPr>
      <t>гравиметрическим методом</t>
    </r>
  </si>
  <si>
    <t>Определение кислотности рН биохимическим методом</t>
  </si>
  <si>
    <r>
      <t xml:space="preserve">Определение  рН солевой вытяжки </t>
    </r>
    <r>
      <rPr>
        <sz val="9"/>
        <rFont val="Times New Roman"/>
        <family val="1"/>
        <charset val="204"/>
      </rPr>
      <t>потенциометрическим методом</t>
    </r>
  </si>
  <si>
    <r>
      <t xml:space="preserve">Определение  рН водной вытяжки </t>
    </r>
    <r>
      <rPr>
        <sz val="9"/>
        <rFont val="Times New Roman"/>
        <family val="1"/>
        <charset val="204"/>
      </rPr>
      <t>потенциометрическим методом</t>
    </r>
  </si>
  <si>
    <t>Емкость катионного обмена</t>
  </si>
  <si>
    <t>Массовая доля органического вещества (гумус) фотометрическим методом</t>
  </si>
  <si>
    <t>почва</t>
  </si>
  <si>
    <t>Определение  органического вещества (гумус) гравиметрическим  методом</t>
  </si>
  <si>
    <t>Массовая доля подвижных соединений фосфора  фотометрическим методом</t>
  </si>
  <si>
    <t>Определение подвижных соединений фосфора  по  методу Чирикова</t>
  </si>
  <si>
    <t>Массовая доля подвижных соединений калия пламенным фотометрическим методом</t>
  </si>
  <si>
    <t>Определение подвижных соединений калия  по  методу Чирикова</t>
  </si>
  <si>
    <t>Массовая доля обменного аммония фотометрическим методом</t>
  </si>
  <si>
    <r>
      <t xml:space="preserve">Массовая доля нитратов                               </t>
    </r>
    <r>
      <rPr>
        <sz val="9"/>
        <rFont val="Times New Roman"/>
        <family val="1"/>
        <charset val="204"/>
      </rPr>
      <t>ионометрическим методом</t>
    </r>
  </si>
  <si>
    <r>
      <t xml:space="preserve">Определение нитратов                                  </t>
    </r>
    <r>
      <rPr>
        <sz val="9"/>
        <rFont val="Times New Roman"/>
        <family val="1"/>
        <charset val="204"/>
      </rPr>
      <t>фотометрическим методом</t>
    </r>
  </si>
  <si>
    <r>
      <t xml:space="preserve">Массовая доля нитратов иона хлорида </t>
    </r>
    <r>
      <rPr>
        <sz val="9"/>
        <rFont val="Times New Roman"/>
        <family val="1"/>
        <charset val="204"/>
      </rPr>
      <t>титриметрическим методом</t>
    </r>
  </si>
  <si>
    <r>
      <t xml:space="preserve"> Массовая доля валового фосфора </t>
    </r>
    <r>
      <rPr>
        <sz val="9"/>
        <rFont val="Times New Roman"/>
        <family val="1"/>
        <charset val="204"/>
      </rPr>
      <t>фотометрическим методом</t>
    </r>
  </si>
  <si>
    <t xml:space="preserve"> Определение валового фосфора по методу Гинзбурга</t>
  </si>
  <si>
    <r>
      <t xml:space="preserve">Массовая доля валового калия                    </t>
    </r>
    <r>
      <rPr>
        <sz val="9"/>
        <rFont val="Times New Roman"/>
        <family val="1"/>
        <charset val="204"/>
      </rPr>
      <t>( м-д пламенной фотометрии)</t>
    </r>
  </si>
  <si>
    <t>Определение валового калия по методу Бурьянова</t>
  </si>
  <si>
    <r>
      <t>Массовая доля иона сульфата</t>
    </r>
    <r>
      <rPr>
        <sz val="9"/>
        <rFont val="Times New Roman"/>
        <family val="1"/>
        <charset val="204"/>
      </rPr>
      <t xml:space="preserve"> гравиметрическим методом</t>
    </r>
  </si>
  <si>
    <t>Определение иона сульфата турбидиметрическим методом</t>
  </si>
  <si>
    <r>
      <t xml:space="preserve">Массовая доля натрия                                  </t>
    </r>
    <r>
      <rPr>
        <sz val="9"/>
        <rFont val="Times New Roman"/>
        <family val="1"/>
        <charset val="204"/>
      </rPr>
      <t xml:space="preserve">м-д пламенная фотометрия </t>
    </r>
  </si>
  <si>
    <r>
      <t xml:space="preserve">Массовая доля калия                                     </t>
    </r>
    <r>
      <rPr>
        <sz val="9"/>
        <rFont val="Times New Roman"/>
        <family val="1"/>
        <charset val="204"/>
      </rPr>
      <t>м-д пламенная фотометрия</t>
    </r>
  </si>
  <si>
    <r>
      <t xml:space="preserve">Массовая доля кальция                                </t>
    </r>
    <r>
      <rPr>
        <sz val="9"/>
        <rFont val="Times New Roman"/>
        <family val="1"/>
        <charset val="204"/>
      </rPr>
      <t>м-д</t>
    </r>
    <r>
      <rPr>
        <sz val="12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 xml:space="preserve">пламенная фотометрия </t>
    </r>
  </si>
  <si>
    <t>Определение массовой доли обменного кальция атомно-абсорбционным методом</t>
  </si>
  <si>
    <r>
      <t xml:space="preserve">Массовая доля магния                                  </t>
    </r>
    <r>
      <rPr>
        <sz val="9"/>
        <rFont val="Times New Roman"/>
        <family val="1"/>
        <charset val="204"/>
      </rPr>
      <t>м-д пламенной фотометрии</t>
    </r>
  </si>
  <si>
    <t>Определение массовой доли обменного магния атомно-абсорбционным методом</t>
  </si>
  <si>
    <r>
      <t xml:space="preserve">Зольность торфяных и оторфованых горизонтов </t>
    </r>
    <r>
      <rPr>
        <sz val="9"/>
        <rFont val="Times New Roman"/>
        <family val="1"/>
        <charset val="204"/>
      </rPr>
      <t>гравиметрическим методом</t>
    </r>
  </si>
  <si>
    <t>Общий азот (титриметрический метод)</t>
  </si>
  <si>
    <t>Определение общего азота фотометрическим методом</t>
  </si>
  <si>
    <t>Аммонийный азот (фотометрический метод)</t>
  </si>
  <si>
    <t>Нитратный азот (фотометрический метод)</t>
  </si>
  <si>
    <t>почва тех.</t>
  </si>
  <si>
    <t>Массовая доля микроэлементов :</t>
  </si>
  <si>
    <t>цинк (ААС м-д)</t>
  </si>
  <si>
    <t>Определение подвижных соединений цинка фотометрическим методом</t>
  </si>
  <si>
    <t>медь (ААС м-д)</t>
  </si>
  <si>
    <t>Определение подвижных соединений меди фотометрическим методом</t>
  </si>
  <si>
    <t>марганец (ААС м-д)</t>
  </si>
  <si>
    <t>Определение подвижных соединений марганца фотометрическим методом</t>
  </si>
  <si>
    <t>бор  (ААС м-д)</t>
  </si>
  <si>
    <t>Определение подвижных соединений бора фотометрическим методом с хинализарином</t>
  </si>
  <si>
    <t>молибден  (ААС м-д)</t>
  </si>
  <si>
    <t>Определение подвижных соединений молибдена фотометрическим методом с цинк-дитиолом</t>
  </si>
  <si>
    <t>кобальт  (ААС м-д)</t>
  </si>
  <si>
    <t>Определение подвижных соединений кобальта фотометрическим методом</t>
  </si>
  <si>
    <t xml:space="preserve">Массовая доля водорастворимого калия   м-д пламенная фотометрия </t>
  </si>
  <si>
    <t>Массовая доля водорастворимого кальция (ААС м-д)</t>
  </si>
  <si>
    <t>Определение массовой доли водорастворимого кальция в водной вытяжке атомно-абсорбционным методом</t>
  </si>
  <si>
    <t>Массовая доля водорастворимого магния (ААС м-д)</t>
  </si>
  <si>
    <t>Определение массовой доли водорастворимого магния в водной вытяжке атомно-абсорбционным методом</t>
  </si>
  <si>
    <r>
      <t xml:space="preserve">Массовая доля хлорида                                </t>
    </r>
    <r>
      <rPr>
        <sz val="9"/>
        <rFont val="Times New Roman"/>
        <family val="1"/>
        <charset val="204"/>
      </rPr>
      <t>(аргентометрический м-д)</t>
    </r>
  </si>
  <si>
    <t>Определение иона хлорида методом прямой ионометрии</t>
  </si>
  <si>
    <t xml:space="preserve">Массовая доля водорастворимого натрия   м-д пламенная фотометрия </t>
  </si>
  <si>
    <t>Эколого - токсикологические исследования</t>
  </si>
  <si>
    <t>Определение содержания свинца, цинка (атомно-абсорбционный метод)</t>
  </si>
  <si>
    <t>Определение содержания  кадмия, меди (атомно-абсорбционный метод)</t>
  </si>
  <si>
    <t>Определение содержания мышьяка (атомно-абсорбционный метод)</t>
  </si>
  <si>
    <t>Определение содержания мышьяка фотометрическим методом</t>
  </si>
  <si>
    <t>Определение содержания ртути (атомно-абсорбционный метод)</t>
  </si>
  <si>
    <t>Определение пестицидов методом ГЖХ</t>
  </si>
  <si>
    <t>Радионуклиды:</t>
  </si>
  <si>
    <t>Цезий - 137 (радиоспектрометрический метод)</t>
  </si>
  <si>
    <t>Стронций - 90  (радиоспектрометрический метод)</t>
  </si>
  <si>
    <t>Определение стронция-90 ускоренным экстракционным методом</t>
  </si>
  <si>
    <t>Нефтезагрязнители (метод инфракрасного спектрометра)</t>
  </si>
  <si>
    <t>Нефтезагрязнители (флуориметрический метод)</t>
  </si>
  <si>
    <t>бенз(а)пирен (метод ВЭЖХ)</t>
  </si>
  <si>
    <r>
      <t>почва тех.</t>
    </r>
    <r>
      <rPr>
        <sz val="10"/>
        <rFont val="Arial Cyr"/>
        <charset val="204"/>
      </rPr>
      <t>подгон</t>
    </r>
  </si>
  <si>
    <t>23.35.1.</t>
  </si>
  <si>
    <t>бенз(а)пирен (фотометрический метод)</t>
  </si>
  <si>
    <t>ГХЦГ (смесь изомеров)</t>
  </si>
  <si>
    <t>ДДТ и его метаболиты</t>
  </si>
  <si>
    <t>зерно,почва тех.</t>
  </si>
  <si>
    <t>Пестициды хлорорганические (ацетахлор)</t>
  </si>
  <si>
    <t>фосфорорганические</t>
  </si>
  <si>
    <t>ртутьорганические</t>
  </si>
  <si>
    <t>Пестициды других групп</t>
  </si>
  <si>
    <t>пиретроиды</t>
  </si>
  <si>
    <r>
      <t>почва тех</t>
    </r>
    <r>
      <rPr>
        <sz val="10"/>
        <rFont val="Arial Cyr"/>
        <charset val="204"/>
      </rPr>
      <t>.подгон</t>
    </r>
  </si>
  <si>
    <t>Яйца, личинки гельминтов, цисты кишечных патогенных простейших (метод микроскопии)</t>
  </si>
  <si>
    <t>Баканализ почв (бактериологический м-д)</t>
  </si>
  <si>
    <r>
      <t xml:space="preserve">Индекс БГКП </t>
    </r>
    <r>
      <rPr>
        <sz val="8"/>
        <rFont val="Times New Roman"/>
        <family val="1"/>
        <charset val="204"/>
      </rPr>
      <t>(микробиологический м-д)</t>
    </r>
  </si>
  <si>
    <r>
      <t xml:space="preserve">Сальмонелла  </t>
    </r>
    <r>
      <rPr>
        <sz val="8"/>
        <rFont val="Times New Roman"/>
        <family val="1"/>
        <charset val="204"/>
      </rPr>
      <t xml:space="preserve"> (микробиологический м-д)</t>
    </r>
  </si>
  <si>
    <r>
      <t xml:space="preserve">Индекс энтерококков                                                 </t>
    </r>
    <r>
      <rPr>
        <sz val="8"/>
        <rFont val="Times New Roman"/>
        <family val="1"/>
        <charset val="204"/>
      </rPr>
      <t>(микробиологический м-д)</t>
    </r>
  </si>
  <si>
    <r>
      <t xml:space="preserve">Уплотнение грунта  </t>
    </r>
    <r>
      <rPr>
        <sz val="8"/>
        <rFont val="Times New Roman"/>
        <family val="1"/>
        <charset val="204"/>
      </rPr>
      <t>(физико-химический м-д)</t>
    </r>
  </si>
  <si>
    <t xml:space="preserve"> Расчет класса опасности (биотестирование)</t>
  </si>
  <si>
    <t>Отбор почвенных проб способом маршрутных ходов с помощью тростевого бура, с выездом специалиста</t>
  </si>
  <si>
    <t>Выдача расчета результатов анализов агрохимического и эколого-токсикологического обследования почв земель  сельскохозяйственного назначения с выдачей рекомендаций</t>
  </si>
  <si>
    <t xml:space="preserve"> экз.</t>
  </si>
  <si>
    <t>Выдача  экспертного заключения</t>
  </si>
  <si>
    <t>Заключение договора</t>
  </si>
  <si>
    <t>Определение площади с географической отбивкой координат</t>
  </si>
  <si>
    <t>1 определение</t>
  </si>
  <si>
    <t>Натурное обследование участка с фотосъёмкой</t>
  </si>
  <si>
    <t>1 описание</t>
  </si>
  <si>
    <t xml:space="preserve">Разработка проекта </t>
  </si>
  <si>
    <t>1 проект</t>
  </si>
  <si>
    <t xml:space="preserve"> Исследование удобрений</t>
  </si>
  <si>
    <t>Гранулометрический состав гравиметрическим методом</t>
  </si>
  <si>
    <r>
      <t xml:space="preserve">Массовая доля азота </t>
    </r>
    <r>
      <rPr>
        <sz val="9"/>
        <rFont val="Times New Roman"/>
        <family val="1"/>
        <charset val="204"/>
      </rPr>
      <t>титриметрическим методом</t>
    </r>
  </si>
  <si>
    <r>
      <t xml:space="preserve">Определение общего азота </t>
    </r>
    <r>
      <rPr>
        <sz val="9"/>
        <rFont val="Times New Roman"/>
        <family val="1"/>
        <charset val="204"/>
      </rPr>
      <t>фотометрическим методом</t>
    </r>
  </si>
  <si>
    <r>
      <t xml:space="preserve">Массовая доля фосфора </t>
    </r>
    <r>
      <rPr>
        <sz val="9"/>
        <rFont val="Times New Roman"/>
        <family val="1"/>
        <charset val="204"/>
      </rPr>
      <t>фотометрическим методом</t>
    </r>
  </si>
  <si>
    <r>
      <t xml:space="preserve">Массовая доля калия                                   </t>
    </r>
    <r>
      <rPr>
        <sz val="9"/>
        <rFont val="Times New Roman"/>
        <family val="1"/>
        <charset val="204"/>
      </rPr>
      <t xml:space="preserve">  м-д пламенная фотометрия</t>
    </r>
  </si>
  <si>
    <t>Определение массовой доли калия весовым тетрафенилборатным методом</t>
  </si>
  <si>
    <r>
      <t xml:space="preserve">Массовая доля воды </t>
    </r>
    <r>
      <rPr>
        <sz val="9"/>
        <rFont val="Times New Roman"/>
        <family val="1"/>
        <charset val="204"/>
      </rPr>
      <t>гравиметрическим методом</t>
    </r>
  </si>
  <si>
    <t>Определение воды по методу Карла Фишера</t>
  </si>
  <si>
    <t>Массовая доля микроэлементов атомно-абсорбционным методом :</t>
  </si>
  <si>
    <t>цинк,</t>
  </si>
  <si>
    <t>медь</t>
  </si>
  <si>
    <t>марганец</t>
  </si>
  <si>
    <t>бор,</t>
  </si>
  <si>
    <t>молибден</t>
  </si>
  <si>
    <t>кобальт</t>
  </si>
  <si>
    <t>железо</t>
  </si>
  <si>
    <t>хром</t>
  </si>
  <si>
    <t>никель</t>
  </si>
  <si>
    <t>Массовая доля токсичных элементов  атомно-абсорбционным методом</t>
  </si>
  <si>
    <t>свинец</t>
  </si>
  <si>
    <t>мышьяк</t>
  </si>
  <si>
    <t>кадмий</t>
  </si>
  <si>
    <t>Баканализ удобрений (бактериологический м-д)</t>
  </si>
  <si>
    <r>
      <t>Разработка проекта рекультивации нарушенных земель сельско-хозяйственного назначения</t>
    </r>
    <r>
      <rPr>
        <b/>
        <sz val="11"/>
        <rFont val="Times New Roman"/>
        <family val="1"/>
        <charset val="204"/>
      </rPr>
      <t xml:space="preserve"> (Согласно действующих НД и ГОСТов)</t>
    </r>
  </si>
  <si>
    <t>проект</t>
  </si>
  <si>
    <t>Необходимо будет изменить с учетом новых введенных показателей и в случае измения в разрезе показателей цен в рамках ГЗ</t>
  </si>
  <si>
    <t>До 1 га</t>
  </si>
  <si>
    <t>От 1 га до 1,5 га</t>
  </si>
  <si>
    <t>От 1,5  га до 2 га</t>
  </si>
  <si>
    <t>№                                    п/п</t>
  </si>
  <si>
    <t>I. Оформление карантинной фитосанитарной документации</t>
  </si>
  <si>
    <t>Оформление заключения о карантинном фитосанитарном состоянии подкарантинной продукции</t>
  </si>
  <si>
    <t>Оформление заключения о карантинном фитосанитарном состоянии подкарантинного объекта</t>
  </si>
  <si>
    <t>Передача заключения по:</t>
  </si>
  <si>
    <t>1.3.1.</t>
  </si>
  <si>
    <t>1.3.1 факсу</t>
  </si>
  <si>
    <t>1 стр.</t>
  </si>
  <si>
    <t>1.3.2.</t>
  </si>
  <si>
    <t>1.3.2  электронной почте</t>
  </si>
  <si>
    <t>1.3.3.</t>
  </si>
  <si>
    <t>1.3.3  почте</t>
  </si>
  <si>
    <t>II. Услуги по установлению карантинного фитосанитарного состояния подкарантинной продукции, включая все виды фитосанитарных анализов и экспертиз</t>
  </si>
  <si>
    <t xml:space="preserve">Луковицы, клубни, клубневидные корни, клубнелуковицы, корневища, включая разветвленные, находящиеся в состоянии вегетативного покоя, вегетации или цветения
прочие живые растения (включая их корни), саженцы, черенки, отводки, клубни луковиц, корневища, горшечные растения:
</t>
  </si>
  <si>
    <t>1.1.1.</t>
  </si>
  <si>
    <r>
      <rPr>
        <sz val="9"/>
        <rFont val="Times New Roman"/>
        <family val="1"/>
        <charset val="204"/>
      </rPr>
      <t>партия до 500 шт. (весь материал)</t>
    </r>
    <r>
      <rPr>
        <sz val="10"/>
        <rFont val="Times New Roman"/>
        <family val="1"/>
        <charset val="204"/>
      </rPr>
      <t xml:space="preserve"> </t>
    </r>
    <r>
      <rPr>
        <i/>
        <sz val="8"/>
        <rFont val="Times New Roman"/>
        <family val="1"/>
        <charset val="204"/>
      </rPr>
      <t>визуальный метод</t>
    </r>
  </si>
  <si>
    <t>1.1.2.</t>
  </si>
  <si>
    <r>
      <t xml:space="preserve">партия от 501 до 3000 шт. </t>
    </r>
    <r>
      <rPr>
        <i/>
        <sz val="8"/>
        <rFont val="Times New Roman"/>
        <family val="1"/>
        <charset val="204"/>
      </rPr>
      <t>визуальный метод</t>
    </r>
  </si>
  <si>
    <t>1.1.3.</t>
  </si>
  <si>
    <r>
      <t xml:space="preserve">партия от 3001 до 10000 шт. </t>
    </r>
    <r>
      <rPr>
        <i/>
        <sz val="8"/>
        <rFont val="Times New Roman"/>
        <family val="1"/>
        <charset val="204"/>
      </rPr>
      <t>визуальный метод</t>
    </r>
  </si>
  <si>
    <t>1.1.4.</t>
  </si>
  <si>
    <r>
      <t xml:space="preserve">партия свыше 10000 шт. </t>
    </r>
    <r>
      <rPr>
        <i/>
        <sz val="8"/>
        <rFont val="Times New Roman"/>
        <family val="1"/>
        <charset val="204"/>
      </rPr>
      <t>визуальный метод</t>
    </r>
  </si>
  <si>
    <r>
      <t xml:space="preserve">рассады овощных, цветочных и ягодных культур </t>
    </r>
    <r>
      <rPr>
        <i/>
        <sz val="8"/>
        <rFont val="Times New Roman"/>
        <family val="1"/>
        <charset val="204"/>
      </rPr>
      <t>визуальный метод</t>
    </r>
  </si>
  <si>
    <t>лук-севок</t>
  </si>
  <si>
    <r>
      <t xml:space="preserve">партия до 1 тонны </t>
    </r>
    <r>
      <rPr>
        <i/>
        <sz val="10"/>
        <rFont val="Times New Roman"/>
        <family val="1"/>
        <charset val="204"/>
      </rPr>
      <t>вручную</t>
    </r>
  </si>
  <si>
    <t>кг.</t>
  </si>
  <si>
    <r>
      <t xml:space="preserve">партия до 15 тонн  </t>
    </r>
    <r>
      <rPr>
        <i/>
        <sz val="8"/>
        <rFont val="Times New Roman"/>
        <family val="1"/>
        <charset val="204"/>
      </rPr>
      <t>вручную</t>
    </r>
  </si>
  <si>
    <r>
      <t xml:space="preserve">партия до 30 тонн </t>
    </r>
    <r>
      <rPr>
        <i/>
        <sz val="8"/>
        <rFont val="Times New Roman"/>
        <family val="1"/>
        <charset val="204"/>
      </rPr>
      <t>вручную</t>
    </r>
  </si>
  <si>
    <t>1.3.4.</t>
  </si>
  <si>
    <r>
      <t xml:space="preserve">партия свыше 30 тонн </t>
    </r>
    <r>
      <rPr>
        <i/>
        <sz val="8"/>
        <rFont val="Times New Roman"/>
        <family val="1"/>
        <charset val="204"/>
      </rPr>
      <t xml:space="preserve"> вручную</t>
    </r>
  </si>
  <si>
    <t>Семена, плоды и споры для посева</t>
  </si>
  <si>
    <t>1.4.1.</t>
  </si>
  <si>
    <t xml:space="preserve">Семенной материал:
семена овощных, цветочных культур, лекарственных и газонных трав (нефасованные):
</t>
  </si>
  <si>
    <t>1.4.1.1.</t>
  </si>
  <si>
    <t>крупносеменные культуры</t>
  </si>
  <si>
    <t>1.4.1.2.</t>
  </si>
  <si>
    <t>среднесеменные культуры</t>
  </si>
  <si>
    <t>1.4.1.3.</t>
  </si>
  <si>
    <t>мелкосеменные культуры</t>
  </si>
  <si>
    <t>1.4.2.</t>
  </si>
  <si>
    <r>
      <rPr>
        <i/>
        <sz val="12"/>
        <rFont val="Times New Roman"/>
        <family val="1"/>
        <charset val="204"/>
      </rPr>
      <t xml:space="preserve">пакетированные семена: партия до 25 пакетов: </t>
    </r>
    <r>
      <rPr>
        <i/>
        <sz val="11"/>
        <rFont val="Times New Roman"/>
        <family val="1"/>
        <charset val="204"/>
      </rPr>
      <t xml:space="preserve">метод - </t>
    </r>
    <r>
      <rPr>
        <i/>
        <sz val="10"/>
        <rFont val="Times New Roman"/>
        <family val="1"/>
        <charset val="204"/>
      </rPr>
      <t>вручную с использованием конусного щупа</t>
    </r>
  </si>
  <si>
    <t>1.4.2.1.</t>
  </si>
  <si>
    <t>пакет</t>
  </si>
  <si>
    <t>1.4.2.2.</t>
  </si>
  <si>
    <t>1.4.2.3.</t>
  </si>
  <si>
    <t>1.4.3.</t>
  </si>
  <si>
    <t>партии семян от 26 до 100 пакетов: метод - вручную с использованием конусного щупа</t>
  </si>
  <si>
    <t>1.4.3.1.</t>
  </si>
  <si>
    <t>1.4.3.2.</t>
  </si>
  <si>
    <t>1.4.3.3.</t>
  </si>
  <si>
    <t>1.4.4.</t>
  </si>
  <si>
    <t>партии семян от 101 до 500 пакетов: метод - вручную с использованием конусного щупа</t>
  </si>
  <si>
    <t>1.4.4.1.</t>
  </si>
  <si>
    <t>1.4.4.2.</t>
  </si>
  <si>
    <t>1.4.4.3.</t>
  </si>
  <si>
    <t>1.4.5.</t>
  </si>
  <si>
    <t>партии свыше 500 пакетов: метод - вручную с использованием конусного щупа</t>
  </si>
  <si>
    <t>1.4.5.1.</t>
  </si>
  <si>
    <t>1.4.5.2.</t>
  </si>
  <si>
    <t>1.4.5.3.</t>
  </si>
  <si>
    <t>1.4.6.</t>
  </si>
  <si>
    <t>Семена зерновых культур (пшеница, ячмень, тритикале, овес) метод - вручную с использованием конусного щупа</t>
  </si>
  <si>
    <t>тонна</t>
  </si>
  <si>
    <t>1.4.7.</t>
  </si>
  <si>
    <t>Семена бобовых культур (фасоль, соя, бобы и т.д.) метод - вручную с использованием конусного щупа</t>
  </si>
  <si>
    <t>1.4.8.</t>
  </si>
  <si>
    <t>Семена люцерны, клевера, люпина метод - вручную с использованием конусного щупа</t>
  </si>
  <si>
    <t>1.4.9.</t>
  </si>
  <si>
    <t>Семена технических и масличных культур (рапс, подсолнечник, кунжут и т.д.) метод - вручную с использованием конусного щупа</t>
  </si>
  <si>
    <t>1.4.10.</t>
  </si>
  <si>
    <t>Семена злаковых, кормовых трав (костер, овсяница, райграс, мятлик и т.д.) метод - вручную с использованием конусного щупа</t>
  </si>
  <si>
    <t>1.4.11.</t>
  </si>
  <si>
    <t>Семенной картофель  метод - вручную</t>
  </si>
  <si>
    <t>1.4.12.</t>
  </si>
  <si>
    <t>Веники, засушенные части растений, мхи:  метод - вручную</t>
  </si>
  <si>
    <t>1.4.12.1.</t>
  </si>
  <si>
    <t>партия до 1000 шт.</t>
  </si>
  <si>
    <t>1.4.12.2.</t>
  </si>
  <si>
    <t>партия свыше 1000 шт.</t>
  </si>
  <si>
    <t>Каждые последующие 1000 шт.</t>
  </si>
  <si>
    <t>1.4.13.</t>
  </si>
  <si>
    <t>Вегетативные части деревьев (ветки):  метод - вручную с использованием секатора</t>
  </si>
  <si>
    <t>1.4.13.1.</t>
  </si>
  <si>
    <t>до 1 тыс.шт.</t>
  </si>
  <si>
    <t>1.4.13.2.</t>
  </si>
  <si>
    <t>свыше 1 тыс.шт.</t>
  </si>
  <si>
    <t>1.4.14.</t>
  </si>
  <si>
    <t>Ветки хвойных деревьев, еловый лапник (еловые ветки): метод - вручную с использованием секатора</t>
  </si>
  <si>
    <t>1.4.14.1.</t>
  </si>
  <si>
    <t>до 1000 шт.</t>
  </si>
  <si>
    <t>1.4.14.2.</t>
  </si>
  <si>
    <t>свыше 1000 шт.</t>
  </si>
  <si>
    <t>1.4.15.</t>
  </si>
  <si>
    <t>Рождественские деревья (новогодние елки) метод - вручную с использованием секатора</t>
  </si>
  <si>
    <t>1.4.16.</t>
  </si>
  <si>
    <t>Срезанные цветы и бутоны, пригодные для составления букетов или для декоративных целей, свежие:   метод - вручную</t>
  </si>
  <si>
    <t>1.4.16.1.</t>
  </si>
  <si>
    <t>1.4.16.2.</t>
  </si>
  <si>
    <r>
      <t xml:space="preserve">посадочный материал взрослых деревьев (возрастом более 3-х лет). </t>
    </r>
    <r>
      <rPr>
        <i/>
        <sz val="12"/>
        <rFont val="Times New Roman"/>
        <family val="1"/>
        <charset val="204"/>
      </rPr>
      <t>визуальным методом</t>
    </r>
  </si>
  <si>
    <t>штука</t>
  </si>
  <si>
    <t>Свежие фрукты: маниок, маранта, салеп, земляная груша или топинамбур, сладкий картофель или батат, и аналогичные корнеплоды и клубнеплоды с высоким содержанием крахмала или инулина, свежие, охлажденные или сушенные, целые или нарезанные ломтиками; сердцевина саговой пальмы,</t>
  </si>
  <si>
    <t xml:space="preserve">Бананы, включая плантайны, свежие или сушеные,
Цитрусовые плоды, свежие или сушеные,
</t>
  </si>
  <si>
    <t xml:space="preserve">Яблоки, груши и айва, свежие
Абрикосы, вишня и черешня, персики (включая нектарины), сливы и терн, свежие, виноград,
</t>
  </si>
  <si>
    <t>Прочие фрукты, свежие</t>
  </si>
  <si>
    <t xml:space="preserve">томаты свежие или охлажденные,
лук репчатый, лук шалот, чеснок, лук-порей и прочие
</t>
  </si>
  <si>
    <t>капуста кочанная, капуста цветная, кольраби, капуста листовая и аналогичные съедобные овощи из рода Brassica, свежие или охлажденные,</t>
  </si>
  <si>
    <t>салат-латук (Lactuca sativa) и цикорий (Cichorium spp.), свежие или охлажденные</t>
  </si>
  <si>
    <t>морковь, репа, свекла столовая, козлобородник, сельдерей корневой, редис и прочие аналогичные съедобные корнеплоды, свежие или охлажденные, огурцы и корнишоны, свежие или охлажденные,</t>
  </si>
  <si>
    <t>бобовые овощи, лущеные или нелущеные, свежие или охлажденные,</t>
  </si>
  <si>
    <t>Овощи бобовые сушеные, лущеные, очищенные от семенной кожуры или неочищенные, колотые или неколотые,</t>
  </si>
  <si>
    <r>
      <t xml:space="preserve">ягоды, бахчевые, свежие грибы:  </t>
    </r>
    <r>
      <rPr>
        <b/>
        <i/>
        <sz val="12"/>
        <rFont val="Times New Roman"/>
        <family val="1"/>
        <charset val="204"/>
      </rPr>
      <t xml:space="preserve"> метод - вручную</t>
    </r>
  </si>
  <si>
    <t>2.1.1.</t>
  </si>
  <si>
    <t>партия до 1 тонны</t>
  </si>
  <si>
    <t>2.1.2.</t>
  </si>
  <si>
    <t>партия от 1 тонны до 150 тонн</t>
  </si>
  <si>
    <t>2.1.3.</t>
  </si>
  <si>
    <t>партия свыше 150 т</t>
  </si>
  <si>
    <t>за каждую последующую тонну</t>
  </si>
  <si>
    <r>
      <t xml:space="preserve">Овощи прочие, свежие или охлажденные, зеленные культуры, салаты </t>
    </r>
    <r>
      <rPr>
        <b/>
        <i/>
        <sz val="12"/>
        <rFont val="Times New Roman"/>
        <family val="1"/>
        <charset val="204"/>
      </rPr>
      <t>метод - вручную</t>
    </r>
  </si>
  <si>
    <t>2.2.1.</t>
  </si>
  <si>
    <t>партия до 50 кг</t>
  </si>
  <si>
    <t>2.2.2.</t>
  </si>
  <si>
    <t>партия свыше 50 кг</t>
  </si>
  <si>
    <t>за каждый последующий килограмм</t>
  </si>
  <si>
    <r>
      <t xml:space="preserve">Овощи прочие, свежие или охлажденные, зеленная культура в горшочках </t>
    </r>
    <r>
      <rPr>
        <b/>
        <i/>
        <sz val="12"/>
        <rFont val="Times New Roman"/>
        <family val="1"/>
        <charset val="204"/>
      </rPr>
      <t>метод - вручную</t>
    </r>
  </si>
  <si>
    <t>2.3.1.</t>
  </si>
  <si>
    <t>партия до 500 шт.</t>
  </si>
  <si>
    <t>2.3.2.</t>
  </si>
  <si>
    <t>партия от 501 до 3000 шт.</t>
  </si>
  <si>
    <t>2.3.3.</t>
  </si>
  <si>
    <t>партия от 3001 до 10000 шт.</t>
  </si>
  <si>
    <t>2.3.4.</t>
  </si>
  <si>
    <t>партия свыше 10000 шт.</t>
  </si>
  <si>
    <r>
      <t xml:space="preserve">Товарный подсолнечник,
кориандр, горчица, клещевина, соя, рапс, продовольственное семя тыквы, фасоль, горох, бобы, лен, копра и т.п. </t>
    </r>
    <r>
      <rPr>
        <b/>
        <i/>
        <sz val="9"/>
        <rFont val="Times New Roman"/>
        <family val="1"/>
        <charset val="204"/>
      </rPr>
      <t>метод - вручную с использованием щупа</t>
    </r>
    <r>
      <rPr>
        <i/>
        <sz val="9"/>
        <rFont val="Times New Roman"/>
        <family val="1"/>
        <charset val="204"/>
      </rPr>
      <t xml:space="preserve">
</t>
    </r>
  </si>
  <si>
    <r>
      <t xml:space="preserve">Продовольственный картофель  </t>
    </r>
    <r>
      <rPr>
        <b/>
        <i/>
        <sz val="12"/>
        <rFont val="Times New Roman"/>
        <family val="1"/>
        <charset val="204"/>
      </rPr>
      <t>метод - вручную</t>
    </r>
  </si>
  <si>
    <r>
      <rPr>
        <i/>
        <sz val="11"/>
        <rFont val="Times New Roman"/>
        <family val="1"/>
        <charset val="204"/>
      </rPr>
      <t xml:space="preserve">Зерно 1-4 класса (продовольственное): Пшеница и меслин, Рожь, Ячмень, Овес, Кукуруза, Рис, Сорго зерновое,  Гречиха, просо и семена канареечника; прочие злаки </t>
    </r>
    <r>
      <rPr>
        <i/>
        <sz val="12"/>
        <rFont val="Times New Roman"/>
        <family val="1"/>
        <charset val="204"/>
      </rPr>
      <t xml:space="preserve">  </t>
    </r>
    <r>
      <rPr>
        <b/>
        <i/>
        <sz val="9"/>
        <rFont val="Times New Roman"/>
        <family val="1"/>
        <charset val="204"/>
      </rPr>
      <t>метод - вручную с использованием щупа</t>
    </r>
  </si>
  <si>
    <r>
      <t xml:space="preserve">Зерно 5-го класса и ниже (зернофураж), комбикорма </t>
    </r>
    <r>
      <rPr>
        <b/>
        <i/>
        <sz val="9"/>
        <rFont val="Times New Roman"/>
        <family val="1"/>
        <charset val="204"/>
      </rPr>
      <t>метод - вручную с использованием щупа</t>
    </r>
  </si>
  <si>
    <t>2.8.</t>
  </si>
  <si>
    <r>
      <t xml:space="preserve">шрот и жмых  метод - </t>
    </r>
    <r>
      <rPr>
        <b/>
        <i/>
        <sz val="8"/>
        <rFont val="Times New Roman"/>
        <family val="1"/>
        <charset val="204"/>
      </rPr>
      <t>вручную с использованием щупа</t>
    </r>
  </si>
  <si>
    <t>2.9.</t>
  </si>
  <si>
    <r>
      <t xml:space="preserve">сахар-сырец  </t>
    </r>
    <r>
      <rPr>
        <b/>
        <i/>
        <sz val="8"/>
        <rFont val="Times New Roman"/>
        <family val="1"/>
        <charset val="204"/>
      </rPr>
      <t>метод - вручную с использованием щупа</t>
    </r>
  </si>
  <si>
    <t>2.10.</t>
  </si>
  <si>
    <r>
      <t xml:space="preserve">какао-бобы, кофе в зернах, орехи, сухофрукты, цукаты,  сушеные овощи, ягоды  </t>
    </r>
    <r>
      <rPr>
        <b/>
        <i/>
        <sz val="12"/>
        <rFont val="Times New Roman"/>
        <family val="1"/>
        <charset val="204"/>
      </rPr>
      <t>метод - вручную с использованием щупа</t>
    </r>
  </si>
  <si>
    <t>2.10.1.</t>
  </si>
  <si>
    <t>2.10.2.</t>
  </si>
  <si>
    <t>партия свыше 1 тонны</t>
  </si>
  <si>
    <t>2.11.</t>
  </si>
  <si>
    <t>Пряности, специи, чай</t>
  </si>
  <si>
    <r>
      <rPr>
        <sz val="11"/>
        <rFont val="Times New Roman"/>
        <family val="1"/>
        <charset val="204"/>
      </rPr>
      <t xml:space="preserve">Хмель, грибы сушеные, целые, нарезанные кусками, ломтиками, измельченные или в виде порошка, но не повергнутые дальнейшей обработке </t>
    </r>
    <r>
      <rPr>
        <b/>
        <i/>
        <sz val="9"/>
        <rFont val="Times New Roman"/>
        <family val="1"/>
        <charset val="204"/>
      </rPr>
      <t>метод - вручную с использованием щупа</t>
    </r>
  </si>
  <si>
    <t>2.12.</t>
  </si>
  <si>
    <r>
      <t xml:space="preserve">крупа, солод </t>
    </r>
    <r>
      <rPr>
        <b/>
        <i/>
        <sz val="9"/>
        <rFont val="Times New Roman"/>
        <family val="1"/>
        <charset val="204"/>
      </rPr>
      <t>метод - вручную с использованием щупа</t>
    </r>
  </si>
  <si>
    <t>2.13.</t>
  </si>
  <si>
    <r>
      <t xml:space="preserve">мука </t>
    </r>
    <r>
      <rPr>
        <b/>
        <i/>
        <sz val="9"/>
        <rFont val="Times New Roman"/>
        <family val="1"/>
        <charset val="204"/>
      </rPr>
      <t>метод - вручную с использованием щупа</t>
    </r>
  </si>
  <si>
    <t>2.14.</t>
  </si>
  <si>
    <r>
      <t xml:space="preserve">хлопья (овсяные, пшеничные и тд.) </t>
    </r>
    <r>
      <rPr>
        <b/>
        <i/>
        <sz val="9"/>
        <rFont val="Times New Roman"/>
        <family val="1"/>
        <charset val="204"/>
      </rPr>
      <t xml:space="preserve"> метод - вручную с использованием щупа</t>
    </r>
  </si>
  <si>
    <t>2.15.</t>
  </si>
  <si>
    <r>
      <t xml:space="preserve">глютен </t>
    </r>
    <r>
      <rPr>
        <b/>
        <i/>
        <sz val="9"/>
        <rFont val="Times New Roman"/>
        <family val="1"/>
        <charset val="204"/>
      </rPr>
      <t>метод - вручную с использованием щупа</t>
    </r>
  </si>
  <si>
    <t>2.16.</t>
  </si>
  <si>
    <r>
      <t xml:space="preserve">соевая мука </t>
    </r>
    <r>
      <rPr>
        <b/>
        <i/>
        <sz val="9"/>
        <rFont val="Times New Roman"/>
        <family val="1"/>
        <charset val="204"/>
      </rPr>
      <t>метод - вручную с использованием щупа</t>
    </r>
  </si>
  <si>
    <t>2.17.</t>
  </si>
  <si>
    <r>
      <t xml:space="preserve">соевый концентрат, соевый изолят, текстурированный соевый белок </t>
    </r>
    <r>
      <rPr>
        <b/>
        <i/>
        <sz val="9"/>
        <rFont val="Times New Roman"/>
        <family val="1"/>
        <charset val="204"/>
      </rPr>
      <t>метод - вручную с использованием щупа</t>
    </r>
  </si>
  <si>
    <t>2.18.</t>
  </si>
  <si>
    <r>
      <t>кокосовая стружка</t>
    </r>
    <r>
      <rPr>
        <b/>
        <i/>
        <sz val="8"/>
        <rFont val="Times New Roman"/>
        <family val="1"/>
        <charset val="204"/>
      </rPr>
      <t xml:space="preserve"> метод - вручную с использованием щупа</t>
    </r>
  </si>
  <si>
    <t>2.19.</t>
  </si>
  <si>
    <r>
      <t>побочный кормовой продукт</t>
    </r>
    <r>
      <rPr>
        <b/>
        <i/>
        <sz val="9"/>
        <rFont val="Times New Roman"/>
        <family val="1"/>
        <charset val="204"/>
      </rPr>
      <t xml:space="preserve"> метод - вручную с использованием щупа</t>
    </r>
  </si>
  <si>
    <t>2.20.</t>
  </si>
  <si>
    <r>
      <t xml:space="preserve">премикс   </t>
    </r>
    <r>
      <rPr>
        <b/>
        <i/>
        <sz val="12"/>
        <rFont val="Times New Roman"/>
        <family val="1"/>
        <charset val="204"/>
      </rPr>
      <t>метод - вручную с использованием щупа</t>
    </r>
  </si>
  <si>
    <t>2.20.1.</t>
  </si>
  <si>
    <t>2.20.2.</t>
  </si>
  <si>
    <t>Волокно хлопчатника, джута, кенафа, сизаля, кокосового ореха</t>
  </si>
  <si>
    <t>Волокно льна и конопли, хны</t>
  </si>
  <si>
    <t>Табак листовой и др. табачное сырье и отходы</t>
  </si>
  <si>
    <t>Технический казеин</t>
  </si>
  <si>
    <t>Сено и солома</t>
  </si>
  <si>
    <t>Кожсырье</t>
  </si>
  <si>
    <t>Шерсть</t>
  </si>
  <si>
    <t>Лекарственное сырье</t>
  </si>
  <si>
    <t>Тапиока и ее аналог</t>
  </si>
  <si>
    <t>Мука рыбная, гранулы из рыбы или ракообразных и т.д., непригодных для употребления в пищу</t>
  </si>
  <si>
    <t>Отходы злаковых и бобовых культур (отрубей, высевков, месятков и пр.)</t>
  </si>
  <si>
    <t>Яичный порошок, сухое молоко (сухие сливки)</t>
  </si>
  <si>
    <r>
      <t xml:space="preserve">Круглые лесоматериалы, пиломатериалы: </t>
    </r>
    <r>
      <rPr>
        <b/>
        <i/>
        <sz val="10"/>
        <rFont val="Times New Roman"/>
        <family val="1"/>
        <charset val="204"/>
      </rPr>
      <t>метод - вручную с использованием пилы, свёрл, стамески</t>
    </r>
  </si>
  <si>
    <t>3.13.1.</t>
  </si>
  <si>
    <t>на площадке</t>
  </si>
  <si>
    <t>куб.м</t>
  </si>
  <si>
    <t>3.13.2.</t>
  </si>
  <si>
    <t>на нижнем складе</t>
  </si>
  <si>
    <t>3.13.3.</t>
  </si>
  <si>
    <t>в автомашине</t>
  </si>
  <si>
    <t>3.13.4.</t>
  </si>
  <si>
    <t>в железнодорожном вагоне</t>
  </si>
  <si>
    <t>3.13.5.</t>
  </si>
  <si>
    <t>на судах и авиатранспорте</t>
  </si>
  <si>
    <t>Дрова</t>
  </si>
  <si>
    <t>Изделия из древесины (в т.ч. крепежный материал), изделия из рисовой соломки, бамбука</t>
  </si>
  <si>
    <t>Масса древесная механическая, опилки</t>
  </si>
  <si>
    <r>
      <rPr>
        <i/>
        <sz val="11"/>
        <rFont val="Times New Roman"/>
        <family val="1"/>
        <charset val="204"/>
      </rPr>
      <t>Кварцевый песок, песок</t>
    </r>
    <r>
      <rPr>
        <i/>
        <sz val="12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</t>
    </r>
    <r>
      <rPr>
        <b/>
        <i/>
        <sz val="9"/>
        <rFont val="Times New Roman"/>
        <family val="1"/>
        <charset val="204"/>
      </rPr>
      <t>метод - вручную)</t>
    </r>
  </si>
  <si>
    <r>
      <t xml:space="preserve">Глина </t>
    </r>
    <r>
      <rPr>
        <b/>
        <i/>
        <sz val="11"/>
        <rFont val="Times New Roman"/>
        <family val="1"/>
        <charset val="204"/>
      </rPr>
      <t xml:space="preserve"> (метод - вручную)</t>
    </r>
  </si>
  <si>
    <r>
      <t>Щебень, галька и т.д.</t>
    </r>
    <r>
      <rPr>
        <b/>
        <i/>
        <sz val="9"/>
        <rFont val="Times New Roman"/>
        <family val="1"/>
        <charset val="204"/>
      </rPr>
      <t>(метод - вручную)</t>
    </r>
  </si>
  <si>
    <r>
      <t xml:space="preserve">Субстрат, компост </t>
    </r>
    <r>
      <rPr>
        <b/>
        <i/>
        <sz val="10"/>
        <rFont val="Times New Roman"/>
        <family val="1"/>
        <charset val="204"/>
      </rPr>
      <t xml:space="preserve"> (метод - вручную)</t>
    </r>
  </si>
  <si>
    <r>
      <t xml:space="preserve">Торф, грунт, почвогрунт, питательный грунт:  </t>
    </r>
    <r>
      <rPr>
        <b/>
        <i/>
        <sz val="12"/>
        <rFont val="Times New Roman"/>
        <family val="1"/>
        <charset val="204"/>
      </rPr>
      <t>метод - вручную</t>
    </r>
  </si>
  <si>
    <t>3.21.1.</t>
  </si>
  <si>
    <t>3.21.2.</t>
  </si>
  <si>
    <t>Пустые деревянные ящики</t>
  </si>
  <si>
    <t>1 ед.</t>
  </si>
  <si>
    <t>Картонные коробки, коробки из гофрокартона, материал из гофрокартона</t>
  </si>
  <si>
    <t>Материал и упаковка ламинированная</t>
  </si>
  <si>
    <t>Мешкотара (джутовая и тканевая)</t>
  </si>
  <si>
    <t>Поддон</t>
  </si>
  <si>
    <t>Барабан</t>
  </si>
  <si>
    <t>Иной упаковочный материал</t>
  </si>
  <si>
    <t>Упаковочный материал для жидких пищевых продуктов</t>
  </si>
  <si>
    <t>1 тыс.шт.</t>
  </si>
  <si>
    <t>4.9.</t>
  </si>
  <si>
    <t>Картонная упаковка, бывшая в эксплуатации</t>
  </si>
  <si>
    <t>1 шт.</t>
  </si>
  <si>
    <t>Судов водоизмещением (пустые емкости):</t>
  </si>
  <si>
    <t>5.1.1.</t>
  </si>
  <si>
    <t>до 3 тыс. т</t>
  </si>
  <si>
    <t>5.1.2.</t>
  </si>
  <si>
    <t>до 6 тыс.т</t>
  </si>
  <si>
    <t>5.1.3.</t>
  </si>
  <si>
    <t>до 15 тыс.т</t>
  </si>
  <si>
    <t>5.1.4.</t>
  </si>
  <si>
    <t>от 15 до 50 тыс.т</t>
  </si>
  <si>
    <t>5.1.5.</t>
  </si>
  <si>
    <t>свыше 50 тыс.т</t>
  </si>
  <si>
    <t>Вагоны (пустые емкости)</t>
  </si>
  <si>
    <t>Контейнеры (пустые емкости)</t>
  </si>
  <si>
    <t>Автобусы (пустые емкости)</t>
  </si>
  <si>
    <t>Грузовые автомобили (пустые емкости)</t>
  </si>
  <si>
    <t>Легковые автомобили (пустые емкости)</t>
  </si>
  <si>
    <t>Самолеты (пустые емкости)</t>
  </si>
  <si>
    <t>5.8.</t>
  </si>
  <si>
    <t>Импортные б/у транспортные средства</t>
  </si>
  <si>
    <t>5.8.1.</t>
  </si>
  <si>
    <t>Грузовые автомобили, спецтехники</t>
  </si>
  <si>
    <t>5.8.2.</t>
  </si>
  <si>
    <t>Легковые автомобили</t>
  </si>
  <si>
    <t>1 коллекция</t>
  </si>
  <si>
    <r>
      <t xml:space="preserve">Визуальное исследование: </t>
    </r>
    <r>
      <rPr>
        <b/>
        <i/>
        <sz val="10"/>
        <rFont val="Times New Roman"/>
        <family val="1"/>
        <charset val="204"/>
      </rPr>
      <t xml:space="preserve"> вручную методом конверта, по диагонали</t>
    </r>
  </si>
  <si>
    <t>многолетние культуры и породы</t>
  </si>
  <si>
    <t>1га</t>
  </si>
  <si>
    <t>однолетние культуры в открытом грунте</t>
  </si>
  <si>
    <t>культуры в закрытом грунте</t>
  </si>
  <si>
    <t>1кв.м</t>
  </si>
  <si>
    <t>0,78 ????</t>
  </si>
  <si>
    <t>складские помещения</t>
  </si>
  <si>
    <t>открытые площадки</t>
  </si>
  <si>
    <t>кв.м</t>
  </si>
  <si>
    <t>питомники</t>
  </si>
  <si>
    <t>теплицы</t>
  </si>
  <si>
    <t>картофеле- и овощехранилища</t>
  </si>
  <si>
    <t>поля открытого грунта</t>
  </si>
  <si>
    <t>1.9.1.</t>
  </si>
  <si>
    <t>поле до 1 га</t>
  </si>
  <si>
    <t>га</t>
  </si>
  <si>
    <t>1.9.2.</t>
  </si>
  <si>
    <t>поле свыше 1 га</t>
  </si>
  <si>
    <t>1.9.3.</t>
  </si>
  <si>
    <t>поле свыше 10 га</t>
  </si>
  <si>
    <r>
      <t xml:space="preserve">Исследование с применением феромонных и пищевых ловушек: </t>
    </r>
    <r>
      <rPr>
        <b/>
        <i/>
        <sz val="10"/>
        <rFont val="Times New Roman"/>
        <family val="1"/>
        <charset val="204"/>
      </rPr>
      <t>метод феромонно-пищевых ловушек</t>
    </r>
  </si>
  <si>
    <t>1 га</t>
  </si>
  <si>
    <t>1 кв.м</t>
  </si>
  <si>
    <t>1,04???? Почему не индекировалась?</t>
  </si>
  <si>
    <t>складские помещения с продукцией</t>
  </si>
  <si>
    <t>1 куб.м</t>
  </si>
  <si>
    <t>складские помещения пустые</t>
  </si>
  <si>
    <t>отбор сметок и просыпей</t>
  </si>
  <si>
    <t>1 образец</t>
  </si>
  <si>
    <r>
      <t xml:space="preserve">Исследование с применением цветных ловушек: </t>
    </r>
    <r>
      <rPr>
        <b/>
        <i/>
        <sz val="11"/>
        <rFont val="Times New Roman"/>
        <family val="1"/>
        <charset val="204"/>
      </rPr>
      <t>метод цветной  ловушки</t>
    </r>
  </si>
  <si>
    <t>многолетние и однолетние культуры и породы в открытом грунте</t>
  </si>
  <si>
    <t>сад с установлением коэффициента заселенности калифорнийской щитовкой</t>
  </si>
  <si>
    <t>Исследование методом шеренги с уничтожением отдельных растений карантинных сорняков и учетом площади под очагами</t>
  </si>
  <si>
    <t>Исследование маршрутным методом:</t>
  </si>
  <si>
    <t>культуры сплошного сева</t>
  </si>
  <si>
    <t>пропашные культуры</t>
  </si>
  <si>
    <t>конопля, соя, многолетние травы</t>
  </si>
  <si>
    <t>паровые поля и невозделываемые земли</t>
  </si>
  <si>
    <t>сад, виноградник, цветочные культуры</t>
  </si>
  <si>
    <t>Исследование земельных угодий на выявление возбудителей карантинных болезней маршрутным методом:</t>
  </si>
  <si>
    <t>Культуры сплошного сева</t>
  </si>
  <si>
    <t>Пропашные культуры</t>
  </si>
  <si>
    <t>Сад, виноградник, ягодные культуры, цветочные и декоративные культуры и породы</t>
  </si>
  <si>
    <t>Картофеля на выявление картофельных нематод в производственных посадках</t>
  </si>
  <si>
    <t>Отбор одного среднего почвенного образца на выявление рака и нематоды картофеля в производственных посадках</t>
  </si>
  <si>
    <t>Визуальный анализ клубней картофеля на выявление рака картофеля в производственных посадках</t>
  </si>
  <si>
    <t xml:space="preserve">Отбор проб на комплекс карантинных объектов </t>
  </si>
  <si>
    <r>
      <t xml:space="preserve">IV. Лабораторная энтомологическая экспертиза средних проб подкарантинной продукции (объектов) </t>
    </r>
    <r>
      <rPr>
        <b/>
        <i/>
        <sz val="11"/>
        <rFont val="Times New Roman"/>
        <family val="1"/>
        <charset val="204"/>
      </rPr>
      <t>метод визуальный</t>
    </r>
  </si>
  <si>
    <t>Лабораторный анализ средней пробы</t>
  </si>
  <si>
    <t>Анализ сборов из ловушек и подготовка насекомых к определению:</t>
  </si>
  <si>
    <r>
      <t xml:space="preserve">Феромонные ловушки   </t>
    </r>
    <r>
      <rPr>
        <b/>
        <i/>
        <sz val="9"/>
        <rFont val="Times New Roman"/>
        <family val="1"/>
        <charset val="204"/>
      </rPr>
      <t>метод визуальный с приготовлением препарата</t>
    </r>
  </si>
  <si>
    <t>ловушка</t>
  </si>
  <si>
    <r>
      <t xml:space="preserve">Пищевые приманки      </t>
    </r>
    <r>
      <rPr>
        <b/>
        <i/>
        <sz val="9"/>
        <rFont val="Times New Roman"/>
        <family val="1"/>
        <charset val="204"/>
      </rPr>
      <t>метод флотации (визуальный)</t>
    </r>
  </si>
  <si>
    <t>приманка</t>
  </si>
  <si>
    <r>
      <t xml:space="preserve">Световые ловушки </t>
    </r>
    <r>
      <rPr>
        <b/>
        <i/>
        <sz val="9"/>
        <rFont val="Times New Roman"/>
        <family val="1"/>
        <charset val="204"/>
      </rPr>
      <t>метод визуальный с приготовлением препарата</t>
    </r>
  </si>
  <si>
    <t>Выявление скрытой зараженности:</t>
  </si>
  <si>
    <t>Метод рентгенографии</t>
  </si>
  <si>
    <t>средняя проба</t>
  </si>
  <si>
    <t>Метод флотации, окрашивания и др.</t>
  </si>
  <si>
    <t>Контрольный метод</t>
  </si>
  <si>
    <r>
      <t>Доращивание вредителей растений до стадии имаго в лабораторных условиях</t>
    </r>
    <r>
      <rPr>
        <b/>
        <i/>
        <sz val="11"/>
        <rFont val="Times New Roman"/>
        <family val="1"/>
        <charset val="204"/>
      </rPr>
      <t xml:space="preserve"> (биологический метод)</t>
    </r>
  </si>
  <si>
    <r>
      <t xml:space="preserve">Идентификация вредителей растений: </t>
    </r>
    <r>
      <rPr>
        <b/>
        <i/>
        <sz val="11"/>
        <rFont val="Times New Roman"/>
        <family val="1"/>
        <charset val="204"/>
      </rPr>
      <t>метод - визуальный</t>
    </r>
  </si>
  <si>
    <t>Без изготовления микропрепаратов (гусеницы, личинки, бабочки, мухи, жуки (кроме капрового)</t>
  </si>
  <si>
    <t>определение</t>
  </si>
  <si>
    <t>С приготовлением микропрепаратов гениталий или других частей тела</t>
  </si>
  <si>
    <t>С приготовлением микропрепарата без специальной обработки (белокрылки, тли, минеры, капровый жук и др. виды трогодерм)</t>
  </si>
  <si>
    <t>С приготовлением микропрепаратов со специальной обработкой (щитовки, трипсы и др.)</t>
  </si>
  <si>
    <t>Средняя стоимость энтомологической экспертизы</t>
  </si>
  <si>
    <t>V. Лабораторная фитопатологическая экспертиза средних проб подкарантинной продукции (объектов)</t>
  </si>
  <si>
    <r>
      <t xml:space="preserve">Анализ подкарантинного материала на выявление возбудителей грибных заболеваний методами фитопатологических исследований (семенного материала и вегетативных частей растений, продовольственных и технических грузов, лесопродукции) </t>
    </r>
    <r>
      <rPr>
        <b/>
        <i/>
        <sz val="12"/>
        <rFont val="Times New Roman"/>
        <family val="1"/>
        <charset val="204"/>
      </rPr>
      <t>метод - визуальный</t>
    </r>
  </si>
  <si>
    <t>Подготовка средней пробы и проведение анализа на выявление признаков поражения возбудителями грибных болезней:</t>
  </si>
  <si>
    <t>семена пакетированные</t>
  </si>
  <si>
    <t>вегетативная часть растения</t>
  </si>
  <si>
    <t>семена до 2-х кг</t>
  </si>
  <si>
    <t>1.1.3.1.</t>
  </si>
  <si>
    <t>семена до 2-х кг (протравленные)</t>
  </si>
  <si>
    <t>1.1.3.2.</t>
  </si>
  <si>
    <t>семена до 2-х кг ( не протравленные)</t>
  </si>
  <si>
    <t>метод смыва спор, центрифугирования и микроскопирования</t>
  </si>
  <si>
    <t>метод микроскопирования и морфометрии</t>
  </si>
  <si>
    <t>метод влажной камеры и микроскопирования</t>
  </si>
  <si>
    <t>с использованием питательной среды</t>
  </si>
  <si>
    <t>метод микроскопирования с применением определенного материала</t>
  </si>
  <si>
    <t>Анализ средних проб почвы и клубней картофеля на рак картофеля:</t>
  </si>
  <si>
    <r>
      <t xml:space="preserve">Почвенная проба  </t>
    </r>
    <r>
      <rPr>
        <b/>
        <i/>
        <sz val="11"/>
        <rFont val="Times New Roman"/>
        <family val="1"/>
        <charset val="204"/>
      </rPr>
      <t>метод флотации</t>
    </r>
  </si>
  <si>
    <r>
      <rPr>
        <sz val="11"/>
        <rFont val="Times New Roman"/>
        <family val="1"/>
        <charset val="204"/>
      </rPr>
      <t>Средняя проба клубней</t>
    </r>
    <r>
      <rPr>
        <b/>
        <i/>
        <sz val="9"/>
        <rFont val="Times New Roman"/>
        <family val="1"/>
        <charset val="204"/>
      </rPr>
      <t xml:space="preserve">    метод (морфологический, визуально, микроскопирования)</t>
    </r>
  </si>
  <si>
    <t>Выявление и идентификация вирусов и бактерий ИФ (иммунофлюоресцентным), ИФА (иммуноферментным) методами</t>
  </si>
  <si>
    <t xml:space="preserve">Выявление и идентификация вирусов, бактерий, грибов, нематод, вредителей, ГМО методом ПЦР </t>
  </si>
  <si>
    <t>Выявление и идентификация вирусов, бактерий, грибов, нематод, вредителей, ГМО методом ПЦР (бактериологическая экспертиза)</t>
  </si>
  <si>
    <t>Выявление и идентификация вирусов, бактерий, грибов, нематод, вредителей, ГМО методом ПЦР (вирусологическая экспертиза)</t>
  </si>
  <si>
    <t>Выявление и идентификация вирусов, бактерий, грибов, нематод, вредителей, ГМО методом ПЦР (гельминтологическая экспертиза)</t>
  </si>
  <si>
    <t>Экспертиза средней пробы на выявление всех видов нематод методом:</t>
  </si>
  <si>
    <t>Вороночный и вороночно-флотационный</t>
  </si>
  <si>
    <t xml:space="preserve">Идентификация нематод </t>
  </si>
  <si>
    <t>Морфологическим методом</t>
  </si>
  <si>
    <t>вид</t>
  </si>
  <si>
    <t>Определение жизнеспособности нематод методом микроскопирования</t>
  </si>
  <si>
    <t>циста</t>
  </si>
  <si>
    <t>Средняя стоимость микологической экспертизы</t>
  </si>
  <si>
    <t xml:space="preserve"> исследование</t>
  </si>
  <si>
    <t>Средняя стоимость бактериологической экспертизы</t>
  </si>
  <si>
    <t>Средняя стоимость вирусологической экспертизы</t>
  </si>
  <si>
    <t>Средняя стоимость гельминтологической экспертизы</t>
  </si>
  <si>
    <t>VI. Лабораторная гербологическая экспертиза средних проб подкарантинной продукции (объекта)</t>
  </si>
  <si>
    <r>
      <t xml:space="preserve">Лабораторный анализ и разбор средней пробы </t>
    </r>
    <r>
      <rPr>
        <b/>
        <i/>
        <sz val="10"/>
        <rFont val="Times New Roman"/>
        <family val="1"/>
        <charset val="204"/>
      </rPr>
      <t>(визуальный метод)</t>
    </r>
  </si>
  <si>
    <t>Экспертиза почвы (при осмотре саженцев, рассады)  методами:</t>
  </si>
  <si>
    <t>Ручное выделение семян и плодов</t>
  </si>
  <si>
    <t>Отмывка</t>
  </si>
  <si>
    <t>Насыщенные растворы</t>
  </si>
  <si>
    <r>
      <t xml:space="preserve">Экспертиза средней пробы семян на засоренность: </t>
    </r>
    <r>
      <rPr>
        <b/>
        <i/>
        <sz val="10"/>
        <rFont val="Times New Roman"/>
        <family val="1"/>
        <charset val="204"/>
      </rPr>
      <t>методом ручного выделения семян и плодов</t>
    </r>
  </si>
  <si>
    <t xml:space="preserve">Крупносеменные растения </t>
  </si>
  <si>
    <t xml:space="preserve">Среднесеменные растения </t>
  </si>
  <si>
    <t xml:space="preserve">Мелкосеменные растения </t>
  </si>
  <si>
    <t>Пакетированные семена</t>
  </si>
  <si>
    <r>
      <t xml:space="preserve">Определение видового состава семян и плодов по морфологическим признакам </t>
    </r>
    <r>
      <rPr>
        <b/>
        <i/>
        <sz val="10"/>
        <rFont val="Times New Roman"/>
        <family val="1"/>
        <charset val="204"/>
      </rPr>
      <t>(морфологическим методом)</t>
    </r>
  </si>
  <si>
    <r>
      <t xml:space="preserve">Определение видового состава семян и плодов по внутреннему строению  </t>
    </r>
    <r>
      <rPr>
        <b/>
        <i/>
        <sz val="9"/>
        <rFont val="Times New Roman"/>
        <family val="1"/>
        <charset val="204"/>
      </rPr>
      <t>(морфологическим методом)</t>
    </r>
  </si>
  <si>
    <r>
      <t xml:space="preserve">Исследование жизнеспособности семян и плодов сорных растений </t>
    </r>
    <r>
      <rPr>
        <b/>
        <i/>
        <sz val="9"/>
        <rFont val="Times New Roman"/>
        <family val="1"/>
        <charset val="204"/>
      </rPr>
      <t>метод определения  с помощью тетразолия хлористого</t>
    </r>
  </si>
  <si>
    <r>
      <t xml:space="preserve">Определение вида живого растения </t>
    </r>
    <r>
      <rPr>
        <b/>
        <i/>
        <sz val="9"/>
        <rFont val="Times New Roman"/>
        <family val="1"/>
        <charset val="204"/>
      </rPr>
      <t>(морфологическим методом)</t>
    </r>
  </si>
  <si>
    <r>
      <t xml:space="preserve">Определение вида растения по гербарному образцу </t>
    </r>
    <r>
      <rPr>
        <b/>
        <i/>
        <sz val="9"/>
        <rFont val="Times New Roman"/>
        <family val="1"/>
        <charset val="204"/>
      </rPr>
      <t>(морфологическим методом)</t>
    </r>
  </si>
  <si>
    <t>Средняя стоимость гербологической экспертизы</t>
  </si>
  <si>
    <t>VII. Изготовление ловушек, коллекций, наглядных пособий и вспомогательных материалов</t>
  </si>
  <si>
    <t>Изготовление гербарного материала</t>
  </si>
  <si>
    <t>1 лист</t>
  </si>
  <si>
    <t>Изготовление коллекций семян</t>
  </si>
  <si>
    <t>VIII. Коэффициенты надбавок за выполнение услуг по карантину растений в особых условиях</t>
  </si>
  <si>
    <t>Проведение карантинного фитосанитарного визуального осмотра в особо сложных условиях (в отдаленных от основного рабочего места районах, а также при неблагоприятных погодных условиях)</t>
  </si>
  <si>
    <t>коэффициент</t>
  </si>
  <si>
    <t>Проведение визуального осмотра протравленных семян</t>
  </si>
  <si>
    <t>Проведение визуального осмотра подкарантинной лесопродукции</t>
  </si>
  <si>
    <t>нижний склад</t>
  </si>
  <si>
    <t>авиатранспорт</t>
  </si>
  <si>
    <t>накопительная площадка и автотранспорт</t>
  </si>
  <si>
    <t>железнодорожный транспорт</t>
  </si>
  <si>
    <t>речной и морской транспорт</t>
  </si>
  <si>
    <t>Проведение работ в праздничные и выходные дни</t>
  </si>
  <si>
    <t>Внеочередное (срочное) выполнение работ</t>
  </si>
  <si>
    <t>Определение поврежденных насекомых и фрагментов</t>
  </si>
  <si>
    <t>Определение особо опасных видов, отсутствующих на территории РФ, а также поврежденных насекомых в т.ч. по их фрагментам</t>
  </si>
  <si>
    <t>2,0-4,0</t>
  </si>
  <si>
    <t>Определение малоизученных некарантинных видов (грибы, бактерии, фитоплазмы, вирусы, нематоды)</t>
  </si>
  <si>
    <t>1,5-3,0</t>
  </si>
  <si>
    <t>Определение вида редко встречающихся семян, плодов и сорных растений</t>
  </si>
  <si>
    <t>Срок действия</t>
  </si>
  <si>
    <t>услуга</t>
  </si>
  <si>
    <t>-</t>
  </si>
  <si>
    <t>1 год</t>
  </si>
  <si>
    <t>свыше                             1 года</t>
  </si>
  <si>
    <t>Орган инспекции</t>
  </si>
  <si>
    <t>Оформление и выдача экспертного заключения (без выезда специалиста, отбора проб, обследования)</t>
  </si>
  <si>
    <t>1чел/час</t>
  </si>
  <si>
    <t>Заверение копий экспертного заключения</t>
  </si>
  <si>
    <t>Стоимость  услуг Органа инспекции по отбору проб, выезда специалиста, проведения обследования взимается согласно прейскуранта Учреждения в разрезе по каждому направлению в сфере оказываемых услуг.</t>
  </si>
  <si>
    <t xml:space="preserve">Сельскохозяйственные культуры </t>
  </si>
  <si>
    <t>38.</t>
  </si>
  <si>
    <t>партия до 50 шт                                                                                                (геометрический и визуальный методы)</t>
  </si>
  <si>
    <t>партия   более 50 шт                                                                                             (геометрический и визуальный методы)</t>
  </si>
  <si>
    <t>Семена овощных  и цветочных культур с массой партии менее 100 г (всхожесть)</t>
  </si>
  <si>
    <r>
      <t xml:space="preserve">зараженность семян болезнями         </t>
    </r>
    <r>
      <rPr>
        <sz val="9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 (анализ семян во влажной камере) биологический метод</t>
    </r>
  </si>
  <si>
    <r>
      <t xml:space="preserve">зараженность семян болезнями         </t>
    </r>
    <r>
      <rPr>
        <sz val="9"/>
        <rFont val="Times New Roman"/>
        <family val="1"/>
        <charset val="204"/>
      </rPr>
      <t xml:space="preserve">  (анализ семян в рулонах фильтровальной бумаги)</t>
    </r>
  </si>
  <si>
    <t>21.20.</t>
  </si>
  <si>
    <t>Обнаружение РНК вируса SARS-CoV-2 в биоматериале от животных методом ПЦР</t>
  </si>
  <si>
    <t>Определение фипронила методом ГХ-МС</t>
  </si>
  <si>
    <t>Обнаружение растительных масел и жиров на растительной основе методом ГХ-МС</t>
  </si>
  <si>
    <t>Пестициды методом ГХ-МС в почве</t>
  </si>
  <si>
    <t>Пестициды методом ГХ-МС в зерне</t>
  </si>
  <si>
    <t>Пестициды методом ГХ-МС в овощах</t>
  </si>
  <si>
    <t>Пестициды методом ГХ-МС во фруктах</t>
  </si>
  <si>
    <t>Определение микробной трансглутаминазы</t>
  </si>
  <si>
    <t>63</t>
  </si>
  <si>
    <t>Пестициды методом  ГЖХ и ГХ-МС:</t>
  </si>
  <si>
    <t>64</t>
  </si>
  <si>
    <t>65</t>
  </si>
  <si>
    <t>66</t>
  </si>
  <si>
    <t>67</t>
  </si>
  <si>
    <t>Медоксипрогистеронацетат</t>
  </si>
  <si>
    <t>38.1.</t>
  </si>
  <si>
    <t>24.1.</t>
  </si>
  <si>
    <t>III.  Исследования в области оценки, качества  зерна и продуктов его переработки</t>
  </si>
  <si>
    <t xml:space="preserve"> IV.  Исследование почв</t>
  </si>
  <si>
    <t xml:space="preserve">  V.  Услуги по установлению карантинного фитосанитарного состояния подкарантинной продукции, включая все виды фитосанитарных анализов и экспертиз, выдаче заключения о карантинном фитосанитарном состоянии подкарантинной продукции</t>
  </si>
  <si>
    <t>30.1.</t>
  </si>
  <si>
    <t>30.2.</t>
  </si>
  <si>
    <t>32.1.</t>
  </si>
  <si>
    <t>32.2.</t>
  </si>
  <si>
    <t>36.1.</t>
  </si>
  <si>
    <t>36.2.</t>
  </si>
  <si>
    <t>38.2.</t>
  </si>
  <si>
    <t>39.</t>
  </si>
  <si>
    <t>40.</t>
  </si>
  <si>
    <t>41.</t>
  </si>
  <si>
    <t>42.</t>
  </si>
  <si>
    <t>42.1.</t>
  </si>
  <si>
    <t>42.2.</t>
  </si>
  <si>
    <t>42.3.</t>
  </si>
  <si>
    <t>43.</t>
  </si>
  <si>
    <t>44.</t>
  </si>
  <si>
    <t>45.</t>
  </si>
  <si>
    <t>45.1.</t>
  </si>
  <si>
    <t>45.2.</t>
  </si>
  <si>
    <t>45.3.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</si>
  <si>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</si>
  <si>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</si>
  <si>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</si>
  <si>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</si>
  <si>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</si>
  <si>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</si>
  <si>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</si>
  <si>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</si>
  <si>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</si>
  <si>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</si>
  <si>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</si>
  <si>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</si>
  <si>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</si>
  <si>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</si>
  <si>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</si>
  <si>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</si>
  <si>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</si>
  <si>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</si>
  <si>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</si>
  <si>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</si>
  <si>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</si>
  <si>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</si>
  <si>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</si>
  <si>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</si>
  <si>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</si>
  <si>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</si>
  <si>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</si>
  <si>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</si>
  <si>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21.1.1.</t>
  </si>
  <si>
    <t>25.1.</t>
  </si>
  <si>
    <t>29.1.</t>
  </si>
  <si>
    <t>33.2.1.</t>
  </si>
  <si>
    <t>34.1.</t>
  </si>
  <si>
    <t>36.3.</t>
  </si>
  <si>
    <t>36.4.</t>
  </si>
  <si>
    <t>36.5.</t>
  </si>
  <si>
    <t>36.6.</t>
  </si>
  <si>
    <t>36.7.</t>
  </si>
  <si>
    <t>36.8.</t>
  </si>
  <si>
    <t>60.1</t>
  </si>
  <si>
    <t>60.2</t>
  </si>
  <si>
    <t>60.3</t>
  </si>
  <si>
    <t>60.4</t>
  </si>
  <si>
    <t>60.5</t>
  </si>
  <si>
    <t>60.6</t>
  </si>
  <si>
    <t>60.7</t>
  </si>
  <si>
    <t>60.8</t>
  </si>
  <si>
    <t>60.9</t>
  </si>
  <si>
    <t>61.1</t>
  </si>
  <si>
    <t>61.2</t>
  </si>
  <si>
    <t>61.3</t>
  </si>
  <si>
    <t>Определение содержания микотоксинов и макроциклических лактонов методом ВЭЖХ</t>
  </si>
  <si>
    <t>Лактоны резорциловой кислоты (макроциклические лактоны)</t>
  </si>
  <si>
    <t>8.8</t>
  </si>
  <si>
    <t>23.13</t>
  </si>
  <si>
    <t>23.14</t>
  </si>
  <si>
    <t>23.15</t>
  </si>
  <si>
    <t>23.16</t>
  </si>
  <si>
    <t>23.17</t>
  </si>
  <si>
    <t>Определение ангельминтиков</t>
  </si>
  <si>
    <t>Определение антибактериальных, лекарственных средств и стимуляторов роста методом ВЭЖХ-МС</t>
  </si>
  <si>
    <t>Определение фикотоксинов</t>
  </si>
  <si>
    <t>Определение препаратов хиноксалинового ряда</t>
  </si>
  <si>
    <t>Определение цефалоспоринов</t>
  </si>
  <si>
    <t>Определение ксенобиотиков в меде</t>
  </si>
  <si>
    <t>68</t>
  </si>
  <si>
    <t>69</t>
  </si>
  <si>
    <t>Определение пестицидов в меде методом ГХ-МС</t>
  </si>
  <si>
    <t>Определение инсектоакарицидов методом ГХ-МС</t>
  </si>
  <si>
    <t>70</t>
  </si>
  <si>
    <t>Определение пестицидов и красителей методом СВЭЖХ-ВПМС</t>
  </si>
  <si>
    <t>70.1</t>
  </si>
  <si>
    <t>Определение инсектоакарицидов методом СВЭЖХ-ВПМС</t>
  </si>
  <si>
    <t>23.10.1</t>
  </si>
  <si>
    <t>23.10.2</t>
  </si>
  <si>
    <t>Определение  линкозаминов</t>
  </si>
  <si>
    <t>Определение  плевромутилинов</t>
  </si>
  <si>
    <t>Определение  макролидов</t>
  </si>
  <si>
    <t>Оформление протокола исследований (испытаний)</t>
  </si>
  <si>
    <t>Сопровождение декларирования соответствия продукции по заявке заказчика: подготовка пакета документов, необходимых для принятия заявителем декларации о соответствии, оформление проекта декларации о соответствии, её подготовка к регистрации в реестре (партия)</t>
  </si>
  <si>
    <t>Сопровождение декларирования соответствия продукции по заявке заказчика: подготовка пакета документов, необходимых для принятия заявителем декларации о соответствии, оформление проекта декларации о соответствии, её подготовка к регистрации в реестре (серия)</t>
  </si>
  <si>
    <t>Прочие услуги (работы)</t>
  </si>
  <si>
    <t>26.1.</t>
  </si>
  <si>
    <t>Сера подвижная (фотометрический метод)</t>
  </si>
  <si>
    <t>Установление карантинного фитосанитарного состояния подкарантинной продукции для выявления семян сорных растений, вредителей и признаков болезней в горшечных растениях, посевном и посадочном материале:</t>
  </si>
  <si>
    <t>Установление карантинного фитосанитарного состояния подкарантинной продукции для выявления семян сорных растений, вредителей и признаков болезней в подкарантинной продукции, предназначенной для продовольственных и фуражных целей:</t>
  </si>
  <si>
    <t xml:space="preserve">Установление карантинного фитосанитарного состояния для выявления вредителей и болезней в биологическом коллекционном материале; исследование на выявление живых фитопатогенных бактерий, вирусов только для научно исследовательских целей;
исследование коллекций и предметы коллекционирования по зоологии, ботанике
</t>
  </si>
  <si>
    <t>III. Установление карантинного фитосанитарного состояния подкарантинного объекта для выявления вредителей при исследовании посевов, посадок:</t>
  </si>
  <si>
    <r>
      <t xml:space="preserve">Установление карантинного фитосанитарного состояния подкарантинной продукции для выявления семян сорных растений, вредителей и признаков болезней в подкарантинной продукции, предназначенной для технических целей:  </t>
    </r>
    <r>
      <rPr>
        <b/>
        <i/>
        <sz val="12"/>
        <rFont val="Times New Roman"/>
        <family val="1"/>
        <charset val="204"/>
      </rPr>
      <t>метод - вручную</t>
    </r>
  </si>
  <si>
    <r>
      <t xml:space="preserve">Установление карантинного фитосанитарного состояния подкарантинной продукции для выявления семян сорных растений, вредителей и признаков болезней в таре и упаковочных материалах: </t>
    </r>
    <r>
      <rPr>
        <b/>
        <i/>
        <sz val="11"/>
        <rFont val="Times New Roman"/>
        <family val="1"/>
        <charset val="204"/>
      </rPr>
      <t xml:space="preserve"> метод - вручную (с использованием пилы, свёрл, стамески)</t>
    </r>
  </si>
  <si>
    <r>
      <t xml:space="preserve">Установление карантинного фитосанитарного состояния подкарантинного объекта для выявления семян сорных растений, вредителей и признаков болезней в транспортных средствах:  </t>
    </r>
    <r>
      <rPr>
        <b/>
        <i/>
        <sz val="12"/>
        <rFont val="Times New Roman"/>
        <family val="1"/>
        <charset val="204"/>
      </rPr>
      <t xml:space="preserve">метод - вручную  </t>
    </r>
  </si>
  <si>
    <r>
      <rPr>
        <sz val="11"/>
        <rFont val="Times New Roman"/>
        <family val="1"/>
        <charset val="204"/>
      </rPr>
      <t>Определение нитрозаминов</t>
    </r>
    <r>
      <rPr>
        <sz val="12"/>
        <rFont val="Times New Roman"/>
        <family val="1"/>
        <charset val="204"/>
      </rPr>
      <t xml:space="preserve">  </t>
    </r>
    <r>
      <rPr>
        <sz val="11"/>
        <rFont val="Times New Roman"/>
        <family val="1"/>
        <charset val="204"/>
      </rPr>
      <t>(метод ТСХ)</t>
    </r>
  </si>
  <si>
    <t>С  дополнениями и изменениями согласно Приказа № 26 от 26.01.2021г., № 32 от 17.02.2021г., № 50 от 06.04.2021г.,                                                                                                                                   № 58 от 19.04.2021г.,  № 82 от 16.06.2021г., № 112 от 04.08.2021г., № 125 от 01.09.2021г., № 138 от 24.09.2021г.,                                                                                                 № 150 от 07.10.2021г., № 159 от 29.10.2021г., № 166 от 12.11.2021г.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</si>
</sst>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54" x14ac:knownFonts="1"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10"/>
      <name val="Arial Cyr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family val="2"/>
      <charset val="204"/>
    </font>
    <font>
      <i/>
      <u/>
      <sz val="8"/>
      <name val="Arial Cyr"/>
      <charset val="204"/>
    </font>
    <font>
      <sz val="9"/>
      <name val="Times New Roman"/>
      <family val="1"/>
      <charset val="204"/>
    </font>
    <font>
      <sz val="10"/>
      <color indexed="20"/>
      <name val="Arial Cyr"/>
      <family val="2"/>
      <charset val="204"/>
    </font>
    <font>
      <sz val="11"/>
      <name val="Times New Roman"/>
      <family val="1"/>
      <charset val="204"/>
    </font>
    <font>
      <sz val="11"/>
      <name val="Arial Cyr"/>
      <family val="2"/>
      <charset val="204"/>
    </font>
    <font>
      <sz val="7"/>
      <name val="Arial Cyr"/>
      <family val="2"/>
      <charset val="204"/>
    </font>
    <font>
      <i/>
      <sz val="10"/>
      <name val="Arial Cyr"/>
      <family val="2"/>
      <charset val="204"/>
    </font>
    <font>
      <i/>
      <sz val="10"/>
      <color indexed="20"/>
      <name val="Arial Cyr"/>
      <family val="2"/>
      <charset val="204"/>
    </font>
    <font>
      <b/>
      <i/>
      <sz val="10"/>
      <name val="Arial Cyr"/>
      <family val="2"/>
      <charset val="204"/>
    </font>
    <font>
      <b/>
      <i/>
      <sz val="10"/>
      <color indexed="20"/>
      <name val="Arial Cyr"/>
      <family val="2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i/>
      <sz val="12"/>
      <name val="Times New Roman"/>
      <family val="1"/>
      <charset val="204"/>
    </font>
    <font>
      <sz val="10.5"/>
      <name val="Times New Roman"/>
      <family val="1"/>
      <charset val="204"/>
    </font>
    <font>
      <sz val="18"/>
      <color rgb="FFFF0000"/>
      <name val="Arial Cyr"/>
      <family val="2"/>
      <charset val="204"/>
    </font>
    <font>
      <sz val="12"/>
      <name val="Arial"/>
      <family val="2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12"/>
      <color rgb="FF0070C0"/>
      <name val="Arial Cyr"/>
      <charset val="204"/>
    </font>
    <font>
      <b/>
      <sz val="12"/>
      <color indexed="20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Arial Cyr"/>
      <family val="2"/>
      <charset val="204"/>
    </font>
    <font>
      <b/>
      <sz val="10.5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Arial Cyr"/>
      <family val="2"/>
      <charset val="204"/>
    </font>
    <font>
      <b/>
      <sz val="9.5"/>
      <name val="Times New Roman"/>
      <family val="1"/>
      <charset val="204"/>
    </font>
    <font>
      <sz val="9.5"/>
      <name val="Times New Roman"/>
      <family val="1"/>
      <charset val="204"/>
    </font>
    <font>
      <sz val="10"/>
      <name val="Arial Cyr"/>
      <charset val="204"/>
    </font>
    <font>
      <sz val="26"/>
      <name val="Arial Cyr"/>
      <family val="2"/>
      <charset val="204"/>
    </font>
    <font>
      <sz val="28"/>
      <name val="Arial Cyr"/>
      <family val="2"/>
      <charset val="204"/>
    </font>
    <font>
      <sz val="48"/>
      <name val="Arial Cyr"/>
      <family val="2"/>
      <charset val="204"/>
    </font>
    <font>
      <sz val="11.5"/>
      <name val="Times New Roman"/>
      <family val="1"/>
      <charset val="204"/>
    </font>
    <font>
      <b/>
      <sz val="10"/>
      <name val="Arial Cyr"/>
      <charset val="204"/>
    </font>
    <font>
      <b/>
      <i/>
      <sz val="9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388">
    <xf numFmtId="0" fontId="0" fillId="0" borderId="0" xfId="0"/>
    <xf numFmtId="0" fontId="0" fillId="2" borderId="0" xfId="0" applyFont="1" applyFill="1" applyAlignment="1">
      <alignment horizontal="left"/>
    </xf>
    <xf numFmtId="0" fontId="0" fillId="2" borderId="0" xfId="0" applyFont="1" applyFill="1"/>
    <xf numFmtId="0" fontId="0" fillId="2" borderId="0" xfId="0" applyFont="1" applyFill="1" applyAlignment="1"/>
    <xf numFmtId="0" fontId="2" fillId="2" borderId="0" xfId="0" applyFont="1" applyFill="1"/>
    <xf numFmtId="0" fontId="4" fillId="2" borderId="0" xfId="0" applyFont="1" applyFill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/>
    </xf>
    <xf numFmtId="2" fontId="11" fillId="2" borderId="1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/>
    <xf numFmtId="0" fontId="2" fillId="2" borderId="0" xfId="0" applyFont="1" applyFill="1" applyAlignment="1">
      <alignment horizontal="center" vertical="center"/>
    </xf>
    <xf numFmtId="0" fontId="12" fillId="2" borderId="3" xfId="0" applyFont="1" applyFill="1" applyBorder="1"/>
    <xf numFmtId="0" fontId="12" fillId="2" borderId="0" xfId="0" applyFont="1" applyFill="1"/>
    <xf numFmtId="0" fontId="12" fillId="0" borderId="0" xfId="0" applyFont="1"/>
    <xf numFmtId="0" fontId="14" fillId="2" borderId="1" xfId="1" applyFont="1" applyFill="1" applyBorder="1" applyAlignment="1">
      <alignment horizontal="center" vertical="center" wrapText="1"/>
    </xf>
    <xf numFmtId="4" fontId="10" fillId="2" borderId="1" xfId="1" applyNumberFormat="1" applyFont="1" applyFill="1" applyBorder="1" applyAlignment="1">
      <alignment horizontal="center" vertical="center" wrapText="1"/>
    </xf>
    <xf numFmtId="4" fontId="10" fillId="2" borderId="1" xfId="1" applyNumberFormat="1" applyFont="1" applyFill="1" applyBorder="1" applyAlignment="1">
      <alignment horizontal="center" vertical="center"/>
    </xf>
    <xf numFmtId="0" fontId="2" fillId="2" borderId="3" xfId="0" applyFont="1" applyFill="1" applyBorder="1"/>
    <xf numFmtId="4" fontId="2" fillId="2" borderId="0" xfId="0" applyNumberFormat="1" applyFont="1" applyFill="1"/>
    <xf numFmtId="0" fontId="15" fillId="0" borderId="0" xfId="0" applyFont="1"/>
    <xf numFmtId="4" fontId="15" fillId="0" borderId="0" xfId="0" applyNumberFormat="1" applyFont="1"/>
    <xf numFmtId="0" fontId="2" fillId="2" borderId="3" xfId="0" applyFont="1" applyFill="1" applyBorder="1" applyAlignment="1">
      <alignment vertical="center"/>
    </xf>
    <xf numFmtId="4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4" fillId="2" borderId="1" xfId="0" applyFont="1" applyFill="1" applyBorder="1" applyAlignment="1">
      <alignment horizontal="center" vertical="center" wrapText="1"/>
    </xf>
    <xf numFmtId="4" fontId="2" fillId="2" borderId="4" xfId="0" applyNumberFormat="1" applyFont="1" applyFill="1" applyBorder="1"/>
    <xf numFmtId="0" fontId="2" fillId="2" borderId="4" xfId="0" applyFont="1" applyFill="1" applyBorder="1"/>
    <xf numFmtId="0" fontId="2" fillId="2" borderId="0" xfId="0" applyFont="1" applyFill="1" applyBorder="1"/>
    <xf numFmtId="0" fontId="15" fillId="0" borderId="0" xfId="0" applyFont="1" applyBorder="1"/>
    <xf numFmtId="4" fontId="2" fillId="2" borderId="0" xfId="0" applyNumberFormat="1" applyFont="1" applyFill="1" applyBorder="1"/>
    <xf numFmtId="0" fontId="2" fillId="2" borderId="5" xfId="0" applyFont="1" applyFill="1" applyBorder="1"/>
    <xf numFmtId="4" fontId="2" fillId="2" borderId="6" xfId="0" applyNumberFormat="1" applyFont="1" applyFill="1" applyBorder="1"/>
    <xf numFmtId="0" fontId="2" fillId="2" borderId="6" xfId="0" applyFont="1" applyFill="1" applyBorder="1"/>
    <xf numFmtId="0" fontId="15" fillId="0" borderId="4" xfId="0" applyFont="1" applyBorder="1"/>
    <xf numFmtId="0" fontId="15" fillId="0" borderId="2" xfId="0" applyFont="1" applyBorder="1"/>
    <xf numFmtId="0" fontId="15" fillId="0" borderId="3" xfId="0" applyFont="1" applyBorder="1"/>
    <xf numFmtId="0" fontId="15" fillId="0" borderId="6" xfId="0" applyFont="1" applyBorder="1"/>
    <xf numFmtId="0" fontId="15" fillId="0" borderId="5" xfId="0" applyFont="1" applyBorder="1"/>
    <xf numFmtId="0" fontId="2" fillId="2" borderId="3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164" fontId="18" fillId="2" borderId="3" xfId="0" applyNumberFormat="1" applyFont="1" applyFill="1" applyBorder="1"/>
    <xf numFmtId="164" fontId="2" fillId="2" borderId="0" xfId="0" applyNumberFormat="1" applyFont="1" applyFill="1"/>
    <xf numFmtId="164" fontId="18" fillId="2" borderId="2" xfId="0" applyNumberFormat="1" applyFont="1" applyFill="1" applyBorder="1"/>
    <xf numFmtId="164" fontId="2" fillId="2" borderId="4" xfId="0" applyNumberFormat="1" applyFont="1" applyFill="1" applyBorder="1"/>
    <xf numFmtId="0" fontId="15" fillId="0" borderId="7" xfId="0" applyFont="1" applyBorder="1"/>
    <xf numFmtId="0" fontId="19" fillId="2" borderId="3" xfId="0" applyFont="1" applyFill="1" applyBorder="1"/>
    <xf numFmtId="0" fontId="19" fillId="2" borderId="0" xfId="0" applyFont="1" applyFill="1" applyBorder="1"/>
    <xf numFmtId="0" fontId="20" fillId="0" borderId="0" xfId="0" applyFont="1" applyBorder="1"/>
    <xf numFmtId="0" fontId="20" fillId="0" borderId="3" xfId="0" applyFont="1" applyBorder="1"/>
    <xf numFmtId="0" fontId="20" fillId="0" borderId="7" xfId="0" applyFont="1" applyBorder="1"/>
    <xf numFmtId="0" fontId="20" fillId="0" borderId="0" xfId="0" applyFont="1"/>
    <xf numFmtId="0" fontId="21" fillId="2" borderId="3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164" fontId="2" fillId="2" borderId="0" xfId="0" applyNumberFormat="1" applyFont="1" applyFill="1" applyBorder="1"/>
    <xf numFmtId="0" fontId="3" fillId="2" borderId="1" xfId="1" applyFont="1" applyFill="1" applyBorder="1" applyAlignment="1">
      <alignment horizontal="center" vertical="center" wrapText="1"/>
    </xf>
    <xf numFmtId="2" fontId="3" fillId="2" borderId="8" xfId="1" applyNumberFormat="1" applyFont="1" applyFill="1" applyBorder="1" applyAlignment="1">
      <alignment horizontal="center" vertical="center" wrapText="1"/>
    </xf>
    <xf numFmtId="0" fontId="16" fillId="2" borderId="1" xfId="1" applyFont="1" applyFill="1" applyBorder="1" applyAlignment="1">
      <alignment horizontal="center" vertical="center" wrapText="1"/>
    </xf>
    <xf numFmtId="2" fontId="3" fillId="2" borderId="9" xfId="1" applyNumberFormat="1" applyFont="1" applyFill="1" applyBorder="1" applyAlignment="1">
      <alignment horizontal="center" vertical="center" wrapText="1"/>
    </xf>
    <xf numFmtId="4" fontId="2" fillId="2" borderId="10" xfId="0" applyNumberFormat="1" applyFont="1" applyFill="1" applyBorder="1"/>
    <xf numFmtId="164" fontId="2" fillId="2" borderId="10" xfId="0" applyNumberFormat="1" applyFont="1" applyFill="1" applyBorder="1"/>
    <xf numFmtId="0" fontId="19" fillId="2" borderId="10" xfId="0" applyFont="1" applyFill="1" applyBorder="1"/>
    <xf numFmtId="0" fontId="20" fillId="0" borderId="10" xfId="0" applyFont="1" applyBorder="1"/>
    <xf numFmtId="0" fontId="20" fillId="0" borderId="11" xfId="0" applyFont="1" applyBorder="1"/>
    <xf numFmtId="0" fontId="24" fillId="2" borderId="0" xfId="0" applyFont="1" applyFill="1" applyBorder="1" applyAlignment="1">
      <alignment horizontal="left" vertical="center" wrapText="1"/>
    </xf>
    <xf numFmtId="0" fontId="19" fillId="2" borderId="0" xfId="0" applyFont="1" applyFill="1"/>
    <xf numFmtId="49" fontId="26" fillId="2" borderId="0" xfId="0" applyNumberFormat="1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 wrapText="1"/>
    </xf>
    <xf numFmtId="2" fontId="26" fillId="2" borderId="0" xfId="0" applyNumberFormat="1" applyFont="1" applyFill="1" applyBorder="1" applyAlignment="1">
      <alignment horizontal="center" vertical="center"/>
    </xf>
    <xf numFmtId="1" fontId="24" fillId="2" borderId="1" xfId="1" applyNumberFormat="1" applyFont="1" applyFill="1" applyBorder="1" applyAlignment="1">
      <alignment horizontal="center" vertical="center"/>
    </xf>
    <xf numFmtId="0" fontId="11" fillId="2" borderId="1" xfId="1" applyNumberFormat="1" applyFont="1" applyFill="1" applyBorder="1" applyAlignment="1" applyProtection="1">
      <alignment horizontal="center" vertical="center"/>
    </xf>
    <xf numFmtId="0" fontId="0" fillId="2" borderId="0" xfId="0" applyFill="1"/>
    <xf numFmtId="4" fontId="10" fillId="2" borderId="1" xfId="1" applyNumberFormat="1" applyFont="1" applyFill="1" applyBorder="1" applyAlignment="1" applyProtection="1">
      <alignment horizontal="center" vertical="center"/>
    </xf>
    <xf numFmtId="0" fontId="15" fillId="2" borderId="0" xfId="0" applyFont="1" applyFill="1"/>
    <xf numFmtId="0" fontId="10" fillId="2" borderId="1" xfId="1" applyNumberFormat="1" applyFont="1" applyFill="1" applyBorder="1" applyAlignment="1" applyProtection="1">
      <alignment horizontal="left" vertical="center" wrapText="1"/>
    </xf>
    <xf numFmtId="49" fontId="10" fillId="2" borderId="7" xfId="0" applyNumberFormat="1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>
      <alignment horizontal="left" vertical="center" wrapText="1"/>
    </xf>
    <xf numFmtId="0" fontId="10" fillId="2" borderId="0" xfId="0" applyNumberFormat="1" applyFont="1" applyFill="1" applyBorder="1" applyAlignment="1" applyProtection="1">
      <alignment horizontal="center" vertical="center" wrapText="1"/>
    </xf>
    <xf numFmtId="0" fontId="10" fillId="2" borderId="0" xfId="0" applyNumberFormat="1" applyFont="1" applyFill="1" applyBorder="1" applyAlignment="1" applyProtection="1">
      <alignment horizontal="center" vertical="center"/>
    </xf>
    <xf numFmtId="2" fontId="10" fillId="2" borderId="0" xfId="0" applyNumberFormat="1" applyFont="1" applyFill="1" applyBorder="1" applyAlignment="1">
      <alignment horizontal="center" vertical="center"/>
    </xf>
    <xf numFmtId="2" fontId="10" fillId="2" borderId="3" xfId="0" applyNumberFormat="1" applyFont="1" applyFill="1" applyBorder="1" applyAlignment="1">
      <alignment horizontal="center" vertical="center"/>
    </xf>
    <xf numFmtId="0" fontId="28" fillId="2" borderId="0" xfId="0" applyFont="1" applyFill="1"/>
    <xf numFmtId="4" fontId="28" fillId="2" borderId="0" xfId="0" applyNumberFormat="1" applyFont="1" applyFill="1"/>
    <xf numFmtId="164" fontId="28" fillId="2" borderId="0" xfId="0" applyNumberFormat="1" applyFont="1" applyFill="1"/>
    <xf numFmtId="0" fontId="28" fillId="0" borderId="0" xfId="0" applyFont="1"/>
    <xf numFmtId="49" fontId="11" fillId="2" borderId="0" xfId="0" applyNumberFormat="1" applyFont="1" applyFill="1" applyBorder="1" applyAlignment="1" applyProtection="1">
      <alignment horizontal="center" vertical="center"/>
    </xf>
    <xf numFmtId="49" fontId="11" fillId="2" borderId="1" xfId="0" applyNumberFormat="1" applyFont="1" applyFill="1" applyBorder="1" applyAlignment="1" applyProtection="1">
      <alignment horizontal="center" vertical="center" wrapText="1"/>
    </xf>
    <xf numFmtId="0" fontId="11" fillId="2" borderId="1" xfId="0" applyNumberFormat="1" applyFont="1" applyFill="1" applyBorder="1" applyAlignment="1" applyProtection="1">
      <alignment horizontal="center" vertical="center" wrapText="1"/>
    </xf>
    <xf numFmtId="0" fontId="29" fillId="2" borderId="1" xfId="1" applyNumberFormat="1" applyFont="1" applyFill="1" applyBorder="1" applyAlignment="1" applyProtection="1">
      <alignment horizontal="center" vertical="center"/>
    </xf>
    <xf numFmtId="0" fontId="10" fillId="2" borderId="1" xfId="0" applyNumberFormat="1" applyFont="1" applyFill="1" applyBorder="1" applyAlignment="1" applyProtection="1">
      <alignment vertical="center" wrapText="1"/>
    </xf>
    <xf numFmtId="4" fontId="15" fillId="0" borderId="0" xfId="0" applyNumberFormat="1" applyFont="1" applyAlignment="1">
      <alignment horizontal="center" vertical="center"/>
    </xf>
    <xf numFmtId="49" fontId="10" fillId="2" borderId="0" xfId="0" applyNumberFormat="1" applyFont="1" applyFill="1" applyBorder="1" applyAlignment="1" applyProtection="1">
      <alignment horizontal="center" vertical="center" wrapText="1"/>
    </xf>
    <xf numFmtId="0" fontId="10" fillId="2" borderId="0" xfId="0" applyNumberFormat="1" applyFont="1" applyFill="1" applyBorder="1" applyAlignment="1" applyProtection="1">
      <alignment horizontal="left" vertical="center" wrapText="1"/>
    </xf>
    <xf numFmtId="2" fontId="10" fillId="2" borderId="0" xfId="0" applyNumberFormat="1" applyFont="1" applyFill="1" applyBorder="1" applyAlignment="1">
      <alignment horizontal="center" vertical="center" wrapText="1"/>
    </xf>
    <xf numFmtId="0" fontId="19" fillId="0" borderId="0" xfId="0" applyFont="1"/>
    <xf numFmtId="0" fontId="26" fillId="2" borderId="0" xfId="0" applyFont="1" applyFill="1" applyAlignment="1">
      <alignment horizontal="center"/>
    </xf>
    <xf numFmtId="0" fontId="19" fillId="2" borderId="0" xfId="0" applyFont="1" applyFill="1" applyAlignment="1">
      <alignment horizontal="left"/>
    </xf>
    <xf numFmtId="0" fontId="19" fillId="2" borderId="0" xfId="0" applyFont="1" applyFill="1" applyAlignment="1">
      <alignment horizontal="center"/>
    </xf>
    <xf numFmtId="0" fontId="30" fillId="2" borderId="0" xfId="0" applyFont="1" applyFill="1" applyBorder="1" applyAlignment="1">
      <alignment horizontal="center"/>
    </xf>
    <xf numFmtId="0" fontId="30" fillId="2" borderId="0" xfId="0" applyFont="1" applyFill="1" applyBorder="1" applyAlignment="1"/>
    <xf numFmtId="0" fontId="31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top" wrapText="1"/>
    </xf>
    <xf numFmtId="0" fontId="19" fillId="2" borderId="4" xfId="0" applyFont="1" applyFill="1" applyBorder="1"/>
    <xf numFmtId="0" fontId="20" fillId="0" borderId="4" xfId="0" applyFont="1" applyBorder="1"/>
    <xf numFmtId="0" fontId="20" fillId="0" borderId="2" xfId="0" applyFont="1" applyBorder="1"/>
    <xf numFmtId="4" fontId="10" fillId="0" borderId="15" xfId="0" applyNumberFormat="1" applyFont="1" applyBorder="1" applyAlignment="1">
      <alignment horizontal="center" vertical="center"/>
    </xf>
    <xf numFmtId="4" fontId="10" fillId="2" borderId="15" xfId="0" applyNumberFormat="1" applyFont="1" applyFill="1" applyBorder="1" applyAlignment="1">
      <alignment horizontal="center" vertical="center"/>
    </xf>
    <xf numFmtId="4" fontId="20" fillId="0" borderId="0" xfId="0" applyNumberFormat="1" applyFont="1"/>
    <xf numFmtId="4" fontId="10" fillId="0" borderId="1" xfId="0" applyNumberFormat="1" applyFont="1" applyBorder="1" applyAlignment="1">
      <alignment horizontal="center" vertical="center"/>
    </xf>
    <xf numFmtId="0" fontId="19" fillId="2" borderId="6" xfId="0" applyFont="1" applyFill="1" applyBorder="1"/>
    <xf numFmtId="164" fontId="2" fillId="2" borderId="6" xfId="0" applyNumberFormat="1" applyFont="1" applyFill="1" applyBorder="1"/>
    <xf numFmtId="0" fontId="20" fillId="0" borderId="6" xfId="0" applyFont="1" applyBorder="1"/>
    <xf numFmtId="0" fontId="20" fillId="0" borderId="5" xfId="0" applyFont="1" applyBorder="1"/>
    <xf numFmtId="4" fontId="10" fillId="0" borderId="16" xfId="0" applyNumberFormat="1" applyFont="1" applyBorder="1" applyAlignment="1">
      <alignment horizontal="center" vertical="center"/>
    </xf>
    <xf numFmtId="4" fontId="10" fillId="2" borderId="16" xfId="0" applyNumberFormat="1" applyFont="1" applyFill="1" applyBorder="1" applyAlignment="1">
      <alignment horizontal="center" vertical="center"/>
    </xf>
    <xf numFmtId="4" fontId="10" fillId="0" borderId="17" xfId="0" applyNumberFormat="1" applyFont="1" applyBorder="1" applyAlignment="1">
      <alignment horizontal="center" vertical="center"/>
    </xf>
    <xf numFmtId="4" fontId="10" fillId="0" borderId="18" xfId="0" applyNumberFormat="1" applyFont="1" applyBorder="1" applyAlignment="1">
      <alignment horizontal="center" vertical="center"/>
    </xf>
    <xf numFmtId="0" fontId="20" fillId="0" borderId="19" xfId="0" applyFont="1" applyBorder="1"/>
    <xf numFmtId="4" fontId="10" fillId="2" borderId="18" xfId="0" applyNumberFormat="1" applyFont="1" applyFill="1" applyBorder="1" applyAlignment="1">
      <alignment horizontal="center" vertical="center"/>
    </xf>
    <xf numFmtId="0" fontId="19" fillId="2" borderId="13" xfId="0" applyFont="1" applyFill="1" applyBorder="1"/>
    <xf numFmtId="4" fontId="10" fillId="0" borderId="20" xfId="0" applyNumberFormat="1" applyFont="1" applyBorder="1" applyAlignment="1">
      <alignment horizontal="center" vertical="center"/>
    </xf>
    <xf numFmtId="4" fontId="10" fillId="2" borderId="20" xfId="0" applyNumberFormat="1" applyFont="1" applyFill="1" applyBorder="1" applyAlignment="1">
      <alignment horizontal="center" vertical="center"/>
    </xf>
    <xf numFmtId="4" fontId="10" fillId="2" borderId="17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top"/>
    </xf>
    <xf numFmtId="4" fontId="10" fillId="0" borderId="21" xfId="0" applyNumberFormat="1" applyFont="1" applyBorder="1" applyAlignment="1">
      <alignment horizontal="center" vertical="center"/>
    </xf>
    <xf numFmtId="4" fontId="10" fillId="2" borderId="2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 wrapText="1"/>
    </xf>
    <xf numFmtId="0" fontId="19" fillId="2" borderId="0" xfId="0" applyFont="1" applyFill="1" applyBorder="1" applyAlignment="1">
      <alignment horizontal="left"/>
    </xf>
    <xf numFmtId="2" fontId="26" fillId="2" borderId="0" xfId="0" applyNumberFormat="1" applyFont="1" applyFill="1" applyBorder="1" applyAlignment="1">
      <alignment horizontal="center"/>
    </xf>
    <xf numFmtId="2" fontId="26" fillId="2" borderId="0" xfId="0" applyNumberFormat="1" applyFont="1" applyFill="1" applyBorder="1" applyAlignment="1"/>
    <xf numFmtId="0" fontId="20" fillId="0" borderId="0" xfId="0" applyFont="1" applyAlignment="1">
      <alignment wrapText="1"/>
    </xf>
    <xf numFmtId="0" fontId="16" fillId="2" borderId="1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top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 wrapText="1"/>
    </xf>
    <xf numFmtId="4" fontId="10" fillId="2" borderId="0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4" fontId="10" fillId="2" borderId="1" xfId="0" applyNumberFormat="1" applyFont="1" applyFill="1" applyBorder="1" applyAlignment="1">
      <alignment horizontal="center" vertical="center" wrapText="1"/>
    </xf>
    <xf numFmtId="4" fontId="10" fillId="0" borderId="22" xfId="0" applyNumberFormat="1" applyFont="1" applyFill="1" applyBorder="1" applyAlignment="1">
      <alignment horizontal="center" vertical="center" wrapText="1"/>
    </xf>
    <xf numFmtId="4" fontId="10" fillId="2" borderId="22" xfId="0" applyNumberFormat="1" applyFont="1" applyFill="1" applyBorder="1" applyAlignment="1">
      <alignment horizontal="center" vertical="center" wrapText="1"/>
    </xf>
    <xf numFmtId="4" fontId="10" fillId="0" borderId="23" xfId="0" applyNumberFormat="1" applyFont="1" applyFill="1" applyBorder="1" applyAlignment="1">
      <alignment horizontal="center" vertical="center" wrapText="1"/>
    </xf>
    <xf numFmtId="4" fontId="10" fillId="2" borderId="23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" fontId="10" fillId="0" borderId="16" xfId="0" applyNumberFormat="1" applyFont="1" applyFill="1" applyBorder="1" applyAlignment="1">
      <alignment horizontal="center" vertical="center" wrapText="1"/>
    </xf>
    <xf numFmtId="4" fontId="10" fillId="2" borderId="16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4" fontId="10" fillId="2" borderId="0" xfId="0" applyNumberFormat="1" applyFont="1" applyFill="1" applyBorder="1" applyAlignment="1">
      <alignment horizontal="center" vertical="center" wrapText="1"/>
    </xf>
    <xf numFmtId="49" fontId="11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/>
    </xf>
    <xf numFmtId="0" fontId="24" fillId="2" borderId="1" xfId="0" applyFont="1" applyFill="1" applyBorder="1" applyAlignment="1">
      <alignment horizontal="center" vertical="center" wrapText="1"/>
    </xf>
    <xf numFmtId="2" fontId="24" fillId="2" borderId="1" xfId="1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vertical="center" wrapText="1"/>
    </xf>
    <xf numFmtId="49" fontId="31" fillId="2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/>
    </xf>
    <xf numFmtId="4" fontId="10" fillId="2" borderId="0" xfId="1" applyNumberFormat="1" applyFont="1" applyFill="1" applyBorder="1" applyAlignment="1">
      <alignment horizontal="center" vertical="center"/>
    </xf>
    <xf numFmtId="2" fontId="10" fillId="2" borderId="1" xfId="1" applyNumberFormat="1" applyFont="1" applyFill="1" applyBorder="1" applyAlignment="1">
      <alignment horizontal="center" vertical="center"/>
    </xf>
    <xf numFmtId="0" fontId="16" fillId="2" borderId="1" xfId="1" applyFont="1" applyFill="1" applyBorder="1" applyAlignment="1">
      <alignment horizontal="left" vertical="center" wrapText="1"/>
    </xf>
    <xf numFmtId="0" fontId="10" fillId="2" borderId="1" xfId="1" applyFont="1" applyFill="1" applyBorder="1" applyAlignment="1">
      <alignment vertical="center" wrapText="1"/>
    </xf>
    <xf numFmtId="0" fontId="27" fillId="2" borderId="1" xfId="1" applyFont="1" applyFill="1" applyBorder="1" applyAlignment="1">
      <alignment horizontal="left" vertical="center" wrapText="1"/>
    </xf>
    <xf numFmtId="2" fontId="10" fillId="2" borderId="1" xfId="1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34" fillId="0" borderId="0" xfId="0" applyFont="1" applyAlignment="1">
      <alignment horizontal="center" vertical="center"/>
    </xf>
    <xf numFmtId="0" fontId="16" fillId="2" borderId="1" xfId="1" applyNumberFormat="1" applyFont="1" applyFill="1" applyBorder="1" applyAlignment="1">
      <alignment horizontal="left" vertical="center" wrapText="1"/>
    </xf>
    <xf numFmtId="0" fontId="10" fillId="2" borderId="1" xfId="1" applyNumberFormat="1" applyFont="1" applyFill="1" applyBorder="1" applyAlignment="1">
      <alignment horizontal="left" vertical="center" wrapText="1"/>
    </xf>
    <xf numFmtId="49" fontId="16" fillId="2" borderId="1" xfId="0" applyNumberFormat="1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49" fontId="31" fillId="2" borderId="1" xfId="1" applyNumberFormat="1" applyFont="1" applyFill="1" applyBorder="1" applyAlignment="1">
      <alignment horizontal="center" vertical="center" wrapText="1"/>
    </xf>
    <xf numFmtId="49" fontId="11" fillId="2" borderId="1" xfId="1" applyNumberFormat="1" applyFont="1" applyFill="1" applyBorder="1" applyAlignment="1">
      <alignment horizontal="center" vertical="center" wrapText="1"/>
    </xf>
    <xf numFmtId="49" fontId="11" fillId="2" borderId="1" xfId="1" applyNumberFormat="1" applyFont="1" applyFill="1" applyBorder="1" applyAlignment="1">
      <alignment horizontal="center" vertical="center"/>
    </xf>
    <xf numFmtId="49" fontId="10" fillId="2" borderId="1" xfId="1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left" vertical="center" wrapText="1"/>
    </xf>
    <xf numFmtId="0" fontId="38" fillId="2" borderId="0" xfId="0" applyFont="1" applyFill="1" applyAlignment="1">
      <alignment horizontal="center"/>
    </xf>
    <xf numFmtId="0" fontId="38" fillId="2" borderId="0" xfId="0" applyFont="1" applyFill="1" applyAlignment="1">
      <alignment horizontal="left"/>
    </xf>
    <xf numFmtId="0" fontId="38" fillId="2" borderId="0" xfId="0" applyFont="1" applyFill="1"/>
    <xf numFmtId="49" fontId="39" fillId="2" borderId="1" xfId="0" applyNumberFormat="1" applyFont="1" applyFill="1" applyBorder="1" applyAlignment="1">
      <alignment horizontal="center" vertical="center"/>
    </xf>
    <xf numFmtId="49" fontId="27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2" fontId="10" fillId="2" borderId="1" xfId="0" applyNumberFormat="1" applyFont="1" applyFill="1" applyBorder="1" applyAlignment="1">
      <alignment horizontal="center" vertical="center"/>
    </xf>
    <xf numFmtId="49" fontId="39" fillId="2" borderId="0" xfId="0" applyNumberFormat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 wrapText="1"/>
    </xf>
    <xf numFmtId="4" fontId="15" fillId="2" borderId="0" xfId="0" applyNumberFormat="1" applyFont="1" applyFill="1"/>
    <xf numFmtId="4" fontId="40" fillId="2" borderId="0" xfId="0" applyNumberFormat="1" applyFont="1" applyFill="1" applyBorder="1" applyAlignment="1">
      <alignment horizontal="center" vertical="center"/>
    </xf>
    <xf numFmtId="49" fontId="10" fillId="2" borderId="0" xfId="0" applyNumberFormat="1" applyFont="1" applyFill="1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39" fillId="2" borderId="1" xfId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16" fontId="27" fillId="2" borderId="1" xfId="1" applyNumberFormat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wrapText="1"/>
    </xf>
    <xf numFmtId="0" fontId="27" fillId="2" borderId="1" xfId="1" applyFont="1" applyFill="1" applyBorder="1" applyAlignment="1">
      <alignment horizontal="center" vertical="center"/>
    </xf>
    <xf numFmtId="0" fontId="26" fillId="2" borderId="1" xfId="1" applyFont="1" applyFill="1" applyBorder="1" applyAlignment="1">
      <alignment vertical="center" wrapText="1"/>
    </xf>
    <xf numFmtId="0" fontId="26" fillId="2" borderId="1" xfId="1" applyFont="1" applyFill="1" applyBorder="1" applyAlignment="1">
      <alignment wrapText="1"/>
    </xf>
    <xf numFmtId="0" fontId="41" fillId="0" borderId="0" xfId="0" applyFont="1"/>
    <xf numFmtId="0" fontId="41" fillId="2" borderId="0" xfId="0" applyFont="1" applyFill="1" applyAlignment="1"/>
    <xf numFmtId="0" fontId="41" fillId="2" borderId="0" xfId="0" applyFont="1" applyFill="1"/>
    <xf numFmtId="0" fontId="39" fillId="2" borderId="1" xfId="1" applyFont="1" applyFill="1" applyBorder="1" applyAlignment="1">
      <alignment horizontal="center" vertical="center" wrapText="1"/>
    </xf>
    <xf numFmtId="0" fontId="26" fillId="2" borderId="1" xfId="1" applyFont="1" applyFill="1" applyBorder="1" applyAlignment="1">
      <alignment vertical="center"/>
    </xf>
    <xf numFmtId="4" fontId="0" fillId="0" borderId="0" xfId="0" applyNumberFormat="1"/>
    <xf numFmtId="4" fontId="0" fillId="0" borderId="0" xfId="0" applyNumberFormat="1" applyFill="1" applyBorder="1"/>
    <xf numFmtId="0" fontId="26" fillId="2" borderId="24" xfId="1" applyFont="1" applyFill="1" applyBorder="1" applyAlignment="1">
      <alignment vertical="center" wrapText="1"/>
    </xf>
    <xf numFmtId="4" fontId="41" fillId="0" borderId="0" xfId="0" applyNumberFormat="1" applyFont="1" applyAlignment="1">
      <alignment horizontal="center" vertical="center"/>
    </xf>
    <xf numFmtId="0" fontId="10" fillId="2" borderId="1" xfId="1" applyFont="1" applyFill="1" applyBorder="1" applyAlignment="1">
      <alignment horizontal="center" vertical="top" wrapText="1"/>
    </xf>
    <xf numFmtId="0" fontId="11" fillId="2" borderId="25" xfId="1" applyFont="1" applyFill="1" applyBorder="1" applyAlignment="1">
      <alignment horizontal="center" vertical="center"/>
    </xf>
    <xf numFmtId="0" fontId="26" fillId="2" borderId="17" xfId="1" applyFont="1" applyFill="1" applyBorder="1" applyAlignment="1">
      <alignment horizontal="left" wrapText="1"/>
    </xf>
    <xf numFmtId="0" fontId="10" fillId="2" borderId="17" xfId="1" applyFont="1" applyFill="1" applyBorder="1" applyAlignment="1">
      <alignment horizontal="center" vertical="center" wrapText="1"/>
    </xf>
    <xf numFmtId="2" fontId="10" fillId="2" borderId="17" xfId="1" applyNumberFormat="1" applyFont="1" applyFill="1" applyBorder="1" applyAlignment="1">
      <alignment horizontal="center" vertical="center"/>
    </xf>
    <xf numFmtId="2" fontId="10" fillId="2" borderId="26" xfId="1" applyNumberFormat="1" applyFont="1" applyFill="1" applyBorder="1" applyAlignment="1">
      <alignment horizontal="center" vertical="center"/>
    </xf>
    <xf numFmtId="0" fontId="11" fillId="2" borderId="27" xfId="1" applyFont="1" applyFill="1" applyBorder="1" applyAlignment="1">
      <alignment horizontal="center" vertical="center"/>
    </xf>
    <xf numFmtId="2" fontId="10" fillId="2" borderId="28" xfId="1" applyNumberFormat="1" applyFont="1" applyFill="1" applyBorder="1" applyAlignment="1">
      <alignment horizontal="center" vertical="center"/>
    </xf>
    <xf numFmtId="0" fontId="11" fillId="2" borderId="29" xfId="1" applyFont="1" applyFill="1" applyBorder="1" applyAlignment="1">
      <alignment horizontal="center" vertical="center"/>
    </xf>
    <xf numFmtId="0" fontId="26" fillId="2" borderId="16" xfId="1" applyFont="1" applyFill="1" applyBorder="1" applyAlignment="1">
      <alignment horizontal="left" wrapText="1"/>
    </xf>
    <xf numFmtId="0" fontId="10" fillId="2" borderId="16" xfId="1" applyFont="1" applyFill="1" applyBorder="1" applyAlignment="1">
      <alignment horizontal="center" vertical="center" wrapText="1"/>
    </xf>
    <xf numFmtId="2" fontId="10" fillId="2" borderId="16" xfId="1" applyNumberFormat="1" applyFont="1" applyFill="1" applyBorder="1" applyAlignment="1">
      <alignment horizontal="center" vertical="center"/>
    </xf>
    <xf numFmtId="2" fontId="10" fillId="2" borderId="30" xfId="1" applyNumberFormat="1" applyFont="1" applyFill="1" applyBorder="1" applyAlignment="1">
      <alignment horizontal="center" vertical="center"/>
    </xf>
    <xf numFmtId="0" fontId="11" fillId="2" borderId="0" xfId="1" applyFont="1" applyFill="1" applyBorder="1" applyAlignment="1">
      <alignment horizontal="center" vertical="center"/>
    </xf>
    <xf numFmtId="0" fontId="26" fillId="2" borderId="0" xfId="1" applyFont="1" applyFill="1" applyBorder="1" applyAlignment="1">
      <alignment wrapText="1"/>
    </xf>
    <xf numFmtId="0" fontId="10" fillId="2" borderId="0" xfId="1" applyFont="1" applyFill="1" applyBorder="1" applyAlignment="1">
      <alignment horizontal="center" vertical="top" wrapText="1"/>
    </xf>
    <xf numFmtId="2" fontId="10" fillId="2" borderId="0" xfId="1" applyNumberFormat="1" applyFont="1" applyFill="1" applyBorder="1" applyAlignment="1">
      <alignment horizontal="center" vertical="center"/>
    </xf>
    <xf numFmtId="0" fontId="42" fillId="2" borderId="1" xfId="1" applyFont="1" applyFill="1" applyBorder="1" applyAlignment="1">
      <alignment horizontal="center" vertical="center" wrapText="1"/>
    </xf>
    <xf numFmtId="0" fontId="10" fillId="2" borderId="0" xfId="1" applyFont="1" applyFill="1" applyBorder="1" applyAlignment="1">
      <alignment horizontal="left" vertical="center" wrapText="1"/>
    </xf>
    <xf numFmtId="0" fontId="0" fillId="2" borderId="0" xfId="0" applyFill="1" applyAlignment="1"/>
    <xf numFmtId="0" fontId="43" fillId="2" borderId="1" xfId="1" applyFont="1" applyFill="1" applyBorder="1" applyAlignment="1">
      <alignment horizontal="center" vertical="center" wrapText="1"/>
    </xf>
    <xf numFmtId="0" fontId="45" fillId="2" borderId="0" xfId="0" applyFont="1" applyFill="1" applyAlignment="1"/>
    <xf numFmtId="0" fontId="46" fillId="2" borderId="0" xfId="0" applyFont="1" applyFill="1" applyAlignment="1"/>
    <xf numFmtId="0" fontId="10" fillId="2" borderId="1" xfId="0" applyFont="1" applyFill="1" applyBorder="1" applyAlignment="1">
      <alignment vertical="center"/>
    </xf>
    <xf numFmtId="0" fontId="47" fillId="2" borderId="7" xfId="0" applyFont="1" applyFill="1" applyBorder="1" applyAlignment="1">
      <alignment horizontal="center"/>
    </xf>
    <xf numFmtId="0" fontId="10" fillId="2" borderId="1" xfId="1" applyFont="1" applyFill="1" applyBorder="1" applyAlignment="1">
      <alignment horizontal="left" wrapText="1"/>
    </xf>
    <xf numFmtId="49" fontId="48" fillId="2" borderId="1" xfId="0" applyNumberFormat="1" applyFont="1" applyFill="1" applyBorder="1" applyAlignment="1">
      <alignment horizontal="left" vertical="center" wrapText="1"/>
    </xf>
    <xf numFmtId="0" fontId="16" fillId="2" borderId="0" xfId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vertical="center"/>
    </xf>
    <xf numFmtId="1" fontId="11" fillId="2" borderId="1" xfId="1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/>
    </xf>
    <xf numFmtId="4" fontId="10" fillId="0" borderId="17" xfId="0" applyNumberFormat="1" applyFont="1" applyFill="1" applyBorder="1" applyAlignment="1">
      <alignment horizontal="center" vertical="center"/>
    </xf>
    <xf numFmtId="4" fontId="10" fillId="0" borderId="18" xfId="0" applyNumberFormat="1" applyFont="1" applyFill="1" applyBorder="1" applyAlignment="1">
      <alignment horizontal="center" vertical="center"/>
    </xf>
    <xf numFmtId="0" fontId="30" fillId="2" borderId="1" xfId="1" applyFont="1" applyFill="1" applyBorder="1" applyAlignment="1">
      <alignment horizontal="left" vertical="center" wrapText="1"/>
    </xf>
    <xf numFmtId="0" fontId="37" fillId="2" borderId="1" xfId="1" applyFont="1" applyFill="1" applyBorder="1" applyAlignment="1">
      <alignment vertical="center" wrapText="1"/>
    </xf>
    <xf numFmtId="0" fontId="49" fillId="2" borderId="0" xfId="0" applyFont="1" applyFill="1" applyAlignment="1"/>
    <xf numFmtId="49" fontId="24" fillId="2" borderId="1" xfId="1" applyNumberFormat="1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top" wrapText="1"/>
    </xf>
    <xf numFmtId="4" fontId="10" fillId="2" borderId="1" xfId="0" applyNumberFormat="1" applyFont="1" applyFill="1" applyBorder="1" applyAlignment="1">
      <alignment horizontal="left" vertical="center"/>
    </xf>
    <xf numFmtId="4" fontId="10" fillId="0" borderId="0" xfId="0" applyNumberFormat="1" applyFont="1" applyFill="1" applyBorder="1" applyAlignment="1">
      <alignment horizontal="center" vertical="center"/>
    </xf>
    <xf numFmtId="4" fontId="0" fillId="2" borderId="0" xfId="0" applyNumberFormat="1" applyFill="1"/>
    <xf numFmtId="0" fontId="0" fillId="3" borderId="0" xfId="0" applyFont="1" applyFill="1"/>
    <xf numFmtId="0" fontId="0" fillId="3" borderId="0" xfId="0" applyFill="1"/>
    <xf numFmtId="0" fontId="44" fillId="0" borderId="0" xfId="0" applyFont="1"/>
    <xf numFmtId="49" fontId="16" fillId="2" borderId="1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vertical="center"/>
    </xf>
    <xf numFmtId="0" fontId="15" fillId="2" borderId="4" xfId="0" applyFont="1" applyFill="1" applyBorder="1"/>
    <xf numFmtId="0" fontId="15" fillId="2" borderId="2" xfId="0" applyFont="1" applyFill="1" applyBorder="1"/>
    <xf numFmtId="0" fontId="15" fillId="2" borderId="7" xfId="0" applyFont="1" applyFill="1" applyBorder="1"/>
    <xf numFmtId="0" fontId="10" fillId="2" borderId="18" xfId="1" applyFont="1" applyFill="1" applyBorder="1" applyAlignment="1">
      <alignment horizontal="left" vertical="center" wrapText="1"/>
    </xf>
    <xf numFmtId="0" fontId="0" fillId="2" borderId="0" xfId="0" applyFont="1" applyFill="1" applyBorder="1" applyAlignment="1"/>
    <xf numFmtId="0" fontId="0" fillId="0" borderId="0" xfId="0" applyBorder="1"/>
    <xf numFmtId="14" fontId="43" fillId="2" borderId="1" xfId="1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49" fontId="11" fillId="2" borderId="0" xfId="1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/>
    <xf numFmtId="0" fontId="10" fillId="2" borderId="1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26" fillId="2" borderId="1" xfId="1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left" vertical="center" wrapText="1"/>
    </xf>
    <xf numFmtId="0" fontId="26" fillId="2" borderId="1" xfId="1" applyFont="1" applyFill="1" applyBorder="1" applyAlignment="1">
      <alignment horizontal="left" vertical="top" wrapText="1"/>
    </xf>
    <xf numFmtId="0" fontId="10" fillId="2" borderId="1" xfId="1" applyFont="1" applyFill="1" applyBorder="1" applyAlignment="1">
      <alignment horizontal="left" vertical="center" wrapText="1"/>
    </xf>
    <xf numFmtId="0" fontId="37" fillId="2" borderId="1" xfId="1" applyFont="1" applyFill="1" applyBorder="1" applyAlignment="1">
      <alignment horizontal="left" vertical="center" wrapText="1"/>
    </xf>
    <xf numFmtId="0" fontId="11" fillId="2" borderId="1" xfId="1" applyFont="1" applyFill="1" applyBorder="1" applyAlignment="1">
      <alignment horizontal="left" vertical="center" wrapText="1"/>
    </xf>
    <xf numFmtId="49" fontId="10" fillId="2" borderId="1" xfId="1" applyNumberFormat="1" applyFont="1" applyFill="1" applyBorder="1" applyAlignment="1">
      <alignment horizontal="center" vertical="center" wrapText="1"/>
    </xf>
    <xf numFmtId="49" fontId="16" fillId="2" borderId="1" xfId="1" applyNumberFormat="1" applyFont="1" applyFill="1" applyBorder="1" applyAlignment="1">
      <alignment horizontal="center" vertical="center" wrapText="1"/>
    </xf>
    <xf numFmtId="0" fontId="31" fillId="2" borderId="1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 wrapText="1"/>
    </xf>
    <xf numFmtId="0" fontId="26" fillId="2" borderId="1" xfId="1" applyFont="1" applyFill="1" applyBorder="1" applyAlignment="1">
      <alignment horizontal="left" wrapText="1"/>
    </xf>
    <xf numFmtId="0" fontId="11" fillId="2" borderId="1" xfId="1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left" vertical="center" wrapText="1"/>
    </xf>
    <xf numFmtId="49" fontId="24" fillId="2" borderId="1" xfId="0" applyNumberFormat="1" applyFont="1" applyFill="1" applyBorder="1" applyAlignment="1">
      <alignment horizontal="center" vertical="top"/>
    </xf>
    <xf numFmtId="0" fontId="11" fillId="2" borderId="0" xfId="0" applyNumberFormat="1" applyFont="1" applyFill="1" applyBorder="1" applyAlignment="1" applyProtection="1">
      <alignment horizontal="center" vertical="center"/>
    </xf>
    <xf numFmtId="1" fontId="24" fillId="2" borderId="1" xfId="1" applyNumberFormat="1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left" vertical="center" wrapText="1"/>
    </xf>
    <xf numFmtId="0" fontId="10" fillId="2" borderId="1" xfId="1" applyFont="1" applyFill="1" applyBorder="1" applyAlignment="1">
      <alignment horizontal="justify" vertical="top" wrapText="1"/>
    </xf>
    <xf numFmtId="0" fontId="10" fillId="2" borderId="1" xfId="1" applyFont="1" applyFill="1" applyBorder="1" applyAlignment="1">
      <alignment horizontal="left" vertical="top" wrapText="1"/>
    </xf>
    <xf numFmtId="0" fontId="10" fillId="2" borderId="1" xfId="1" applyFont="1" applyFill="1" applyBorder="1" applyAlignment="1">
      <alignment vertical="top" wrapText="1"/>
    </xf>
    <xf numFmtId="0" fontId="4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4" fontId="10" fillId="2" borderId="1" xfId="0" applyNumberFormat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26" fillId="2" borderId="1" xfId="1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center" vertical="center" wrapText="1"/>
    </xf>
    <xf numFmtId="0" fontId="26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left" vertical="center" wrapText="1"/>
    </xf>
    <xf numFmtId="0" fontId="26" fillId="2" borderId="1" xfId="0" applyFont="1" applyFill="1" applyBorder="1" applyAlignment="1">
      <alignment horizontal="left" vertical="center" wrapText="1"/>
    </xf>
    <xf numFmtId="0" fontId="26" fillId="2" borderId="1" xfId="1" applyFont="1" applyFill="1" applyBorder="1" applyAlignment="1">
      <alignment horizontal="left" vertical="top" wrapText="1"/>
    </xf>
    <xf numFmtId="0" fontId="10" fillId="2" borderId="1" xfId="1" applyFont="1" applyFill="1" applyBorder="1" applyAlignment="1">
      <alignment horizontal="left" vertical="center" wrapText="1"/>
    </xf>
    <xf numFmtId="0" fontId="37" fillId="2" borderId="1" xfId="1" applyFont="1" applyFill="1" applyBorder="1" applyAlignment="1">
      <alignment horizontal="left" vertical="center" wrapText="1"/>
    </xf>
    <xf numFmtId="0" fontId="11" fillId="2" borderId="1" xfId="1" applyFont="1" applyFill="1" applyBorder="1" applyAlignment="1">
      <alignment horizontal="left" vertical="center" wrapText="1"/>
    </xf>
    <xf numFmtId="49" fontId="10" fillId="2" borderId="1" xfId="1" applyNumberFormat="1" applyFont="1" applyFill="1" applyBorder="1" applyAlignment="1">
      <alignment horizontal="center" vertical="center" wrapText="1"/>
    </xf>
    <xf numFmtId="49" fontId="16" fillId="2" borderId="1" xfId="1" applyNumberFormat="1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left" vertical="center"/>
    </xf>
    <xf numFmtId="0" fontId="31" fillId="2" borderId="1" xfId="1" applyFont="1" applyFill="1" applyBorder="1" applyAlignment="1">
      <alignment horizontal="center" vertical="center" wrapText="1"/>
    </xf>
    <xf numFmtId="4" fontId="10" fillId="2" borderId="1" xfId="1" applyNumberFormat="1" applyFont="1" applyFill="1" applyBorder="1" applyAlignment="1">
      <alignment horizontal="center" wrapText="1"/>
    </xf>
    <xf numFmtId="4" fontId="10" fillId="2" borderId="1" xfId="1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47" fillId="2" borderId="7" xfId="0" applyFont="1" applyFill="1" applyBorder="1" applyAlignment="1">
      <alignment horizontal="center"/>
    </xf>
    <xf numFmtId="0" fontId="8" fillId="2" borderId="0" xfId="1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 wrapText="1"/>
    </xf>
    <xf numFmtId="0" fontId="26" fillId="2" borderId="1" xfId="1" applyFont="1" applyFill="1" applyBorder="1" applyAlignment="1">
      <alignment horizontal="left" wrapText="1"/>
    </xf>
    <xf numFmtId="0" fontId="8" fillId="2" borderId="0" xfId="1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/>
    </xf>
    <xf numFmtId="0" fontId="26" fillId="2" borderId="1" xfId="1" applyFont="1" applyFill="1" applyBorder="1" applyAlignment="1">
      <alignment horizontal="left" vertical="center"/>
    </xf>
    <xf numFmtId="0" fontId="33" fillId="0" borderId="0" xfId="0" applyFont="1" applyAlignment="1">
      <alignment horizontal="center" vertical="center" wrapText="1"/>
    </xf>
    <xf numFmtId="49" fontId="24" fillId="2" borderId="24" xfId="0" applyNumberFormat="1" applyFont="1" applyFill="1" applyBorder="1" applyAlignment="1">
      <alignment horizontal="center" vertical="center" wrapText="1"/>
    </xf>
    <xf numFmtId="49" fontId="24" fillId="2" borderId="32" xfId="0" applyNumberFormat="1" applyFont="1" applyFill="1" applyBorder="1" applyAlignment="1">
      <alignment horizontal="center" vertical="center" wrapText="1"/>
    </xf>
    <xf numFmtId="49" fontId="24" fillId="2" borderId="31" xfId="0" applyNumberFormat="1" applyFont="1" applyFill="1" applyBorder="1" applyAlignment="1">
      <alignment horizontal="center" vertical="center" wrapText="1"/>
    </xf>
    <xf numFmtId="0" fontId="24" fillId="2" borderId="1" xfId="1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49" fontId="24" fillId="2" borderId="1" xfId="0" applyNumberFormat="1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center" vertical="top" wrapText="1"/>
    </xf>
    <xf numFmtId="0" fontId="0" fillId="2" borderId="1" xfId="0" applyFont="1" applyFill="1" applyBorder="1"/>
    <xf numFmtId="0" fontId="10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1" applyNumberFormat="1" applyFont="1" applyFill="1" applyBorder="1" applyAlignment="1" applyProtection="1">
      <alignment horizontal="center" vertical="center" wrapText="1"/>
    </xf>
    <xf numFmtId="49" fontId="10" fillId="2" borderId="14" xfId="0" applyNumberFormat="1" applyFont="1" applyFill="1" applyBorder="1" applyAlignment="1" applyProtection="1">
      <alignment horizontal="center" vertical="top" wrapText="1"/>
    </xf>
    <xf numFmtId="49" fontId="10" fillId="2" borderId="6" xfId="0" applyNumberFormat="1" applyFont="1" applyFill="1" applyBorder="1" applyAlignment="1" applyProtection="1">
      <alignment horizontal="center" vertical="top" wrapText="1"/>
    </xf>
    <xf numFmtId="49" fontId="10" fillId="2" borderId="5" xfId="0" applyNumberFormat="1" applyFont="1" applyFill="1" applyBorder="1" applyAlignment="1" applyProtection="1">
      <alignment horizontal="center" vertical="top" wrapText="1"/>
    </xf>
    <xf numFmtId="0" fontId="11" fillId="2" borderId="0" xfId="0" applyNumberFormat="1" applyFont="1" applyFill="1" applyBorder="1" applyAlignment="1" applyProtection="1">
      <alignment horizontal="center" vertical="center"/>
    </xf>
    <xf numFmtId="0" fontId="24" fillId="2" borderId="12" xfId="0" applyFont="1" applyFill="1" applyBorder="1" applyAlignment="1">
      <alignment horizontal="left" vertical="center" wrapText="1"/>
    </xf>
    <xf numFmtId="0" fontId="24" fillId="2" borderId="13" xfId="0" applyFont="1" applyFill="1" applyBorder="1" applyAlignment="1">
      <alignment horizontal="left" vertical="center" wrapText="1"/>
    </xf>
    <xf numFmtId="0" fontId="24" fillId="2" borderId="11" xfId="0" applyFont="1" applyFill="1" applyBorder="1" applyAlignment="1">
      <alignment horizontal="left" vertical="center" wrapText="1"/>
    </xf>
    <xf numFmtId="1" fontId="24" fillId="2" borderId="1" xfId="1" applyNumberFormat="1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left" vertical="center" wrapText="1"/>
    </xf>
    <xf numFmtId="0" fontId="10" fillId="2" borderId="1" xfId="1" applyFont="1" applyFill="1" applyBorder="1" applyAlignment="1">
      <alignment horizontal="justify" vertical="top" wrapText="1"/>
    </xf>
    <xf numFmtId="0" fontId="10" fillId="2" borderId="1" xfId="1" applyFont="1" applyFill="1" applyBorder="1" applyAlignment="1">
      <alignment horizontal="left" vertical="top" wrapText="1"/>
    </xf>
    <xf numFmtId="0" fontId="10" fillId="2" borderId="1" xfId="1" applyFont="1" applyFill="1" applyBorder="1" applyAlignment="1">
      <alignment vertical="top" wrapText="1"/>
    </xf>
    <xf numFmtId="0" fontId="16" fillId="2" borderId="1" xfId="1" applyFont="1" applyFill="1" applyBorder="1" applyAlignment="1">
      <alignment horizontal="justify" vertical="top" wrapText="1"/>
    </xf>
    <xf numFmtId="0" fontId="17" fillId="2" borderId="1" xfId="0" applyFont="1" applyFill="1" applyBorder="1"/>
    <xf numFmtId="0" fontId="13" fillId="2" borderId="0" xfId="0" applyFont="1" applyFill="1" applyAlignment="1">
      <alignment horizontal="center"/>
    </xf>
    <xf numFmtId="0" fontId="4" fillId="2" borderId="0" xfId="2" applyNumberFormat="1" applyFont="1" applyFill="1" applyBorder="1" applyAlignment="1" applyProtection="1">
      <alignment horizontal="right"/>
    </xf>
    <xf numFmtId="0" fontId="4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0" fontId="4" fillId="2" borderId="0" xfId="1" applyNumberFormat="1" applyFont="1" applyFill="1" applyBorder="1" applyAlignment="1" applyProtection="1">
      <alignment horizontal="right"/>
    </xf>
    <xf numFmtId="0" fontId="6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16" xfId="4"/>
    <cellStyle name="Обычный 2" xfId="1"/>
    <cellStyle name="Обычный 2 2" xfId="2"/>
    <cellStyle name="Обычн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590550</xdr:colOff>
      <xdr:row>77</xdr:row>
      <xdr:rowOff>133350</xdr:rowOff>
    </xdr:from>
    <xdr:to>
      <xdr:col>6</xdr:col>
      <xdr:colOff>590106</xdr:colOff>
      <xdr:row>85</xdr:row>
      <xdr:rowOff>104540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14775" y="133350"/>
          <a:ext cx="3552381" cy="18761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V1498"/>
  <sheetViews>
    <sheetView tabSelected="1" view="pageBreakPreview" topLeftCell="A78" zoomScaleSheetLayoutView="100" zoomScalePageLayoutView="59" workbookViewId="0">
      <selection activeCell="A79" sqref="A79:G85"/>
    </sheetView>
  </sheetViews>
  <sheetFormatPr defaultRowHeight="12.75" x14ac:dyDescent="0.2"/>
  <cols>
    <col min="1" max="1" width="8.5703125" style="309" customWidth="1"/>
    <col min="2" max="2" width="41.28515625" style="1" customWidth="1"/>
    <col min="3" max="3" width="17" style="309" customWidth="1"/>
    <col min="4" max="4" width="12" style="309" customWidth="1"/>
    <col min="5" max="5" width="12.28515625" style="2" customWidth="1"/>
    <col min="6" max="6" width="12" style="309" customWidth="1"/>
    <col min="7" max="7" width="17.28515625" style="3" customWidth="1"/>
    <col min="8" max="8" width="11" hidden="1" customWidth="1"/>
    <col min="9" max="36" width="9.140625" hidden="1" customWidth="1"/>
    <col min="37" max="37" width="19.140625" hidden="1" customWidth="1"/>
    <col min="38" max="62" width="9.140625" hidden="1" customWidth="1"/>
    <col min="63" max="63" width="19.85546875" hidden="1" customWidth="1"/>
    <col min="64" max="67" width="9.140625" hidden="1" customWidth="1"/>
    <col min="68" max="68" width="33.28515625" hidden="1" customWidth="1"/>
    <col min="69" max="85" width="9.140625" hidden="1" customWidth="1"/>
    <col min="86" max="86" width="4.5703125" hidden="1" customWidth="1"/>
    <col min="87" max="112" width="9.140625" hidden="1" customWidth="1"/>
    <col min="113" max="173" width="9.1406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spans="1:15" hidden="1" x14ac:dyDescent="0.2"/>
    <row r="66" spans="1:15" hidden="1" x14ac:dyDescent="0.2"/>
    <row r="67" spans="1:15" hidden="1" x14ac:dyDescent="0.2"/>
    <row r="68" spans="1:15" hidden="1" x14ac:dyDescent="0.2"/>
    <row r="69" spans="1:15" hidden="1" x14ac:dyDescent="0.2"/>
    <row r="70" spans="1:15" hidden="1" x14ac:dyDescent="0.2"/>
    <row r="71" spans="1:15" hidden="1" x14ac:dyDescent="0.2"/>
    <row r="72" spans="1:15" hidden="1" x14ac:dyDescent="0.2"/>
    <row r="73" spans="1:15" hidden="1" x14ac:dyDescent="0.2"/>
    <row r="74" spans="1:15" hidden="1" x14ac:dyDescent="0.2"/>
    <row r="75" spans="1:15" hidden="1" x14ac:dyDescent="0.2"/>
    <row r="76" spans="1:15" hidden="1" x14ac:dyDescent="0.2"/>
    <row r="77" spans="1:15" ht="9" hidden="1" customHeight="1" x14ac:dyDescent="0.2">
      <c r="A77" s="384"/>
      <c r="B77" s="384"/>
      <c r="C77" s="384"/>
      <c r="D77" s="384"/>
      <c r="E77" s="384"/>
      <c r="F77" s="384"/>
      <c r="G77" s="384"/>
    </row>
    <row r="78" spans="1:15" ht="18.75" x14ac:dyDescent="0.3">
      <c r="A78" s="385"/>
      <c r="B78" s="385"/>
      <c r="C78" s="385"/>
      <c r="D78" s="385"/>
      <c r="E78" s="385"/>
      <c r="F78" s="385"/>
      <c r="G78" s="385"/>
      <c r="H78" s="4"/>
      <c r="I78" s="4"/>
      <c r="J78" s="4"/>
      <c r="K78" s="4"/>
      <c r="L78" s="4"/>
      <c r="M78" s="4"/>
      <c r="N78" s="4"/>
      <c r="O78" s="4"/>
    </row>
    <row r="79" spans="1:15" ht="18.75" x14ac:dyDescent="0.3">
      <c r="A79" s="380"/>
      <c r="B79" s="380"/>
      <c r="C79" s="380"/>
      <c r="D79" s="380"/>
      <c r="E79" s="380"/>
      <c r="F79" s="380"/>
      <c r="G79" s="380"/>
      <c r="H79" s="4"/>
      <c r="I79" s="4"/>
      <c r="J79" s="4"/>
      <c r="K79" s="4"/>
      <c r="L79" s="4"/>
      <c r="M79" s="4"/>
      <c r="N79" s="4"/>
      <c r="O79" s="4"/>
    </row>
    <row r="80" spans="1:15" ht="18.75" x14ac:dyDescent="0.3">
      <c r="A80" s="380"/>
      <c r="B80" s="380"/>
      <c r="C80" s="380"/>
      <c r="D80" s="380"/>
      <c r="E80" s="380"/>
      <c r="F80" s="380"/>
      <c r="G80" s="380"/>
      <c r="H80" s="4"/>
      <c r="I80" s="4"/>
      <c r="J80" s="4"/>
      <c r="K80" s="4"/>
      <c r="L80" s="4"/>
      <c r="M80" s="4"/>
      <c r="N80" s="4"/>
      <c r="O80" s="4"/>
    </row>
    <row r="81" spans="1:61" ht="18.75" x14ac:dyDescent="0.3">
      <c r="A81" s="380"/>
      <c r="B81" s="380"/>
      <c r="C81" s="380"/>
      <c r="D81" s="380"/>
      <c r="E81" s="380"/>
      <c r="F81" s="380"/>
      <c r="G81" s="380"/>
      <c r="H81" s="4"/>
      <c r="I81" s="4"/>
      <c r="J81" s="4"/>
      <c r="K81" s="4"/>
      <c r="L81" s="4"/>
      <c r="M81" s="4"/>
      <c r="N81" s="4"/>
      <c r="O81" s="4"/>
    </row>
    <row r="82" spans="1:61" ht="18.75" x14ac:dyDescent="0.3">
      <c r="A82" s="380"/>
      <c r="B82" s="380"/>
      <c r="C82" s="380"/>
      <c r="D82" s="380"/>
      <c r="E82" s="380"/>
      <c r="F82" s="380"/>
      <c r="G82" s="380"/>
      <c r="H82" s="4"/>
      <c r="I82" s="4"/>
      <c r="J82" s="4"/>
      <c r="K82" s="4"/>
      <c r="L82" s="4"/>
      <c r="M82" s="4"/>
      <c r="N82" s="4"/>
      <c r="O82" s="4"/>
    </row>
    <row r="83" spans="1:61" ht="18.75" x14ac:dyDescent="0.3">
      <c r="A83" s="380"/>
      <c r="B83" s="380"/>
      <c r="C83" s="380"/>
      <c r="D83" s="380"/>
      <c r="E83" s="380"/>
      <c r="F83" s="380"/>
      <c r="G83" s="380"/>
      <c r="H83" s="4"/>
      <c r="I83" s="4"/>
      <c r="J83" s="4"/>
      <c r="K83" s="4"/>
      <c r="L83" s="4"/>
      <c r="M83" s="4"/>
      <c r="N83" s="4"/>
      <c r="O83" s="4"/>
    </row>
    <row r="84" spans="1:61" ht="18.75" x14ac:dyDescent="0.3">
      <c r="A84" s="380"/>
      <c r="B84" s="380"/>
      <c r="C84" s="380"/>
      <c r="D84" s="380"/>
      <c r="E84" s="380"/>
      <c r="F84" s="380"/>
      <c r="G84" s="380"/>
      <c r="H84" s="4"/>
      <c r="I84" s="4"/>
      <c r="J84" s="4"/>
      <c r="K84" s="4"/>
      <c r="L84" s="4"/>
      <c r="M84" s="4"/>
      <c r="N84" s="4"/>
      <c r="O84" s="4"/>
    </row>
    <row r="85" spans="1:61" ht="18.75" x14ac:dyDescent="0.3">
      <c r="A85" s="380"/>
      <c r="B85" s="380"/>
      <c r="C85" s="380"/>
      <c r="D85" s="380"/>
      <c r="E85" s="380"/>
      <c r="F85" s="380"/>
      <c r="G85" s="380"/>
      <c r="H85" s="4"/>
      <c r="I85" s="4"/>
      <c r="J85" s="4"/>
      <c r="K85" s="4"/>
      <c r="L85" s="4"/>
      <c r="M85" s="4"/>
      <c r="N85" s="4"/>
      <c r="O85" s="4"/>
    </row>
    <row r="86" spans="1:61" ht="18.75" x14ac:dyDescent="0.3">
      <c r="A86" s="308"/>
      <c r="B86" s="5"/>
      <c r="C86" s="308"/>
      <c r="D86" s="308"/>
      <c r="E86" s="381"/>
      <c r="F86" s="381"/>
      <c r="G86" s="381"/>
      <c r="H86" s="4"/>
      <c r="I86" s="4"/>
      <c r="J86" s="4"/>
      <c r="K86" s="4"/>
      <c r="L86" s="4"/>
      <c r="M86" s="4"/>
      <c r="N86" s="4"/>
      <c r="O86" s="4"/>
    </row>
    <row r="87" spans="1:61" x14ac:dyDescent="0.2">
      <c r="E87" s="382"/>
      <c r="F87" s="382"/>
      <c r="G87" s="382"/>
      <c r="H87" s="4"/>
      <c r="I87" s="4"/>
      <c r="J87" s="4"/>
      <c r="K87" s="4"/>
      <c r="L87" s="4"/>
      <c r="M87" s="4"/>
      <c r="N87" s="4"/>
      <c r="O87" s="4"/>
    </row>
    <row r="88" spans="1:61" ht="19.5" customHeight="1" x14ac:dyDescent="0.2">
      <c r="C88" s="3"/>
      <c r="D88" s="3"/>
      <c r="E88" s="3"/>
      <c r="F88" s="3"/>
      <c r="H88" s="3"/>
      <c r="I88" s="3"/>
      <c r="J88" s="3"/>
      <c r="K88" s="3"/>
      <c r="L88" s="3"/>
      <c r="M88" s="3"/>
      <c r="N88" s="3"/>
      <c r="O88" s="3"/>
    </row>
    <row r="89" spans="1:61" ht="20.25" x14ac:dyDescent="0.2">
      <c r="A89" s="383" t="s">
        <v>0</v>
      </c>
      <c r="B89" s="383"/>
      <c r="C89" s="383"/>
      <c r="D89" s="383"/>
      <c r="E89" s="383"/>
      <c r="F89" s="383"/>
      <c r="G89" s="383"/>
      <c r="H89" s="4"/>
      <c r="I89" s="4"/>
      <c r="J89" s="4"/>
      <c r="K89" s="4"/>
      <c r="L89" s="4"/>
      <c r="M89" s="4"/>
      <c r="N89" s="4"/>
      <c r="O89" s="4"/>
    </row>
    <row r="90" spans="1:61" ht="45" customHeight="1" x14ac:dyDescent="0.2">
      <c r="A90" s="386" t="s">
        <v>1</v>
      </c>
      <c r="B90" s="386"/>
      <c r="C90" s="386"/>
      <c r="D90" s="386"/>
      <c r="E90" s="386"/>
      <c r="F90" s="386"/>
      <c r="G90" s="386"/>
      <c r="H90" s="4"/>
      <c r="I90" s="4"/>
      <c r="J90" s="4"/>
      <c r="K90" s="4"/>
      <c r="L90" s="4"/>
      <c r="M90" s="4"/>
      <c r="N90" s="4"/>
      <c r="O90" s="4"/>
    </row>
    <row r="91" spans="1:61" ht="46.5" customHeight="1" x14ac:dyDescent="0.2">
      <c r="A91" s="387" t="s">
        <v>1876</v>
      </c>
      <c r="B91" s="387"/>
      <c r="C91" s="387"/>
      <c r="D91" s="387"/>
      <c r="E91" s="387"/>
      <c r="F91" s="387"/>
      <c r="G91" s="387"/>
      <c r="H91" s="4"/>
      <c r="I91" s="4"/>
      <c r="J91" s="4"/>
      <c r="K91" s="4"/>
      <c r="L91" s="4"/>
      <c r="M91" s="4"/>
      <c r="N91" s="4"/>
      <c r="O91" s="4"/>
    </row>
    <row r="92" spans="1:61" s="6" customFormat="1" ht="31.5" customHeight="1" thickBot="1" x14ac:dyDescent="0.25">
      <c r="A92" s="340" t="s">
        <v>2</v>
      </c>
      <c r="B92" s="340"/>
      <c r="C92" s="340"/>
      <c r="D92" s="340"/>
      <c r="E92" s="340"/>
      <c r="F92" s="340"/>
      <c r="G92" s="340"/>
      <c r="H92" s="4"/>
      <c r="I92" s="4"/>
      <c r="J92" s="4"/>
      <c r="K92" s="4"/>
      <c r="L92" s="4"/>
      <c r="M92" s="4"/>
      <c r="N92" s="4"/>
      <c r="O92" s="4"/>
    </row>
    <row r="93" spans="1:61" s="6" customFormat="1" ht="16.5" hidden="1" thickBot="1" x14ac:dyDescent="0.3">
      <c r="A93" s="7"/>
      <c r="B93" s="1"/>
      <c r="C93" s="309"/>
      <c r="D93" s="309"/>
      <c r="E93" s="2"/>
      <c r="F93" s="309"/>
      <c r="G93" s="3"/>
      <c r="H93" s="4"/>
      <c r="I93" s="4"/>
      <c r="J93" s="4"/>
      <c r="K93" s="4"/>
      <c r="L93" s="4"/>
      <c r="M93" s="4"/>
      <c r="N93" s="4"/>
      <c r="O93" s="4"/>
    </row>
    <row r="94" spans="1:61" s="6" customFormat="1" ht="70.5" customHeight="1" x14ac:dyDescent="0.2">
      <c r="A94" s="292" t="s">
        <v>3</v>
      </c>
      <c r="B94" s="296" t="s">
        <v>4</v>
      </c>
      <c r="C94" s="296" t="s">
        <v>5</v>
      </c>
      <c r="D94" s="296" t="s">
        <v>6</v>
      </c>
      <c r="E94" s="296" t="s">
        <v>7</v>
      </c>
      <c r="F94" s="8" t="s">
        <v>8</v>
      </c>
      <c r="G94" s="296" t="s">
        <v>9</v>
      </c>
      <c r="H94" s="9"/>
      <c r="I94" s="4"/>
      <c r="J94" s="4"/>
      <c r="K94" s="10"/>
      <c r="L94" s="4"/>
      <c r="M94" s="4"/>
      <c r="N94" s="4"/>
      <c r="O94" s="4"/>
    </row>
    <row r="95" spans="1:61" s="13" customFormat="1" ht="15.75" x14ac:dyDescent="0.2">
      <c r="A95" s="292">
        <v>1</v>
      </c>
      <c r="B95" s="296">
        <v>2</v>
      </c>
      <c r="C95" s="296">
        <v>3</v>
      </c>
      <c r="D95" s="296">
        <v>4</v>
      </c>
      <c r="E95" s="296">
        <v>5</v>
      </c>
      <c r="F95" s="296">
        <v>6</v>
      </c>
      <c r="G95" s="296">
        <v>7</v>
      </c>
      <c r="H95" s="11"/>
      <c r="I95" s="379" t="s">
        <v>10</v>
      </c>
      <c r="J95" s="379"/>
      <c r="K95" s="12"/>
      <c r="L95" s="12"/>
      <c r="M95" s="12"/>
      <c r="N95" s="12"/>
      <c r="O95" s="12"/>
    </row>
    <row r="96" spans="1:61" s="19" customFormat="1" ht="39" customHeight="1" x14ac:dyDescent="0.2">
      <c r="A96" s="356" t="s">
        <v>11</v>
      </c>
      <c r="B96" s="374" t="s">
        <v>12</v>
      </c>
      <c r="C96" s="277" t="s">
        <v>13</v>
      </c>
      <c r="D96" s="14" t="s">
        <v>14</v>
      </c>
      <c r="E96" s="15">
        <v>533.5</v>
      </c>
      <c r="F96" s="16">
        <f>E96*20%</f>
        <v>106.7</v>
      </c>
      <c r="G96" s="16">
        <f>E96+F96</f>
        <v>640.20000000000005</v>
      </c>
      <c r="H96" s="17"/>
      <c r="I96" s="18">
        <f>E96*18%</f>
        <v>96.03</v>
      </c>
      <c r="J96" s="18">
        <f>E96*1.18</f>
        <v>629.53</v>
      </c>
      <c r="K96" s="4"/>
      <c r="L96" s="4"/>
      <c r="M96" s="4"/>
      <c r="N96" s="4"/>
      <c r="O96" s="4"/>
      <c r="AL96" s="19">
        <f>461.9*5%</f>
        <v>23.094999999999999</v>
      </c>
      <c r="AM96" s="20">
        <f>461.9+AL96</f>
        <v>485</v>
      </c>
      <c r="AN96" s="20">
        <f>AM96-E96</f>
        <v>-48.5</v>
      </c>
      <c r="BH96" s="20">
        <f>442.01*1.045</f>
        <v>461.9</v>
      </c>
      <c r="BI96" s="20">
        <f>BH96-E96</f>
        <v>-71.599999999999994</v>
      </c>
    </row>
    <row r="97" spans="1:61" s="19" customFormat="1" ht="18.75" customHeight="1" x14ac:dyDescent="0.2">
      <c r="A97" s="356"/>
      <c r="B97" s="374"/>
      <c r="C97" s="277" t="s">
        <v>15</v>
      </c>
      <c r="D97" s="277" t="s">
        <v>16</v>
      </c>
      <c r="E97" s="15">
        <f>329.33*1.05</f>
        <v>345.8</v>
      </c>
      <c r="F97" s="16">
        <f t="shared" ref="F97:F160" si="0">E97*20%</f>
        <v>69.16</v>
      </c>
      <c r="G97" s="16">
        <f t="shared" ref="G97:G160" si="1">E97+F97</f>
        <v>414.96</v>
      </c>
      <c r="H97" s="17"/>
      <c r="I97" s="18">
        <f t="shared" ref="I97:I160" si="2">E97*18%</f>
        <v>62.24</v>
      </c>
      <c r="J97" s="18">
        <f t="shared" ref="J97:J160" si="3">E97*1.18</f>
        <v>408.04</v>
      </c>
      <c r="K97" s="4"/>
      <c r="L97" s="4"/>
      <c r="M97" s="4"/>
      <c r="N97" s="4"/>
      <c r="O97" s="4"/>
      <c r="T97" s="19" t="s">
        <v>17</v>
      </c>
      <c r="BH97" s="19">
        <v>329.33</v>
      </c>
      <c r="BI97" s="20">
        <f>BH97-E97</f>
        <v>-16.47</v>
      </c>
    </row>
    <row r="98" spans="1:61" s="19" customFormat="1" ht="37.5" customHeight="1" x14ac:dyDescent="0.2">
      <c r="A98" s="356"/>
      <c r="B98" s="374"/>
      <c r="C98" s="14" t="s">
        <v>18</v>
      </c>
      <c r="D98" s="277" t="s">
        <v>16</v>
      </c>
      <c r="E98" s="15">
        <f>214.47*1.05</f>
        <v>225.19</v>
      </c>
      <c r="F98" s="16">
        <f t="shared" si="0"/>
        <v>45.04</v>
      </c>
      <c r="G98" s="16">
        <f t="shared" si="1"/>
        <v>270.23</v>
      </c>
      <c r="H98" s="21"/>
      <c r="I98" s="22">
        <f t="shared" si="2"/>
        <v>40.53</v>
      </c>
      <c r="J98" s="22">
        <f t="shared" si="3"/>
        <v>265.72000000000003</v>
      </c>
      <c r="K98" s="23"/>
      <c r="L98" s="23"/>
      <c r="M98" s="23"/>
      <c r="N98" s="23"/>
      <c r="O98" s="23"/>
      <c r="P98" s="24"/>
      <c r="Q98" s="24"/>
      <c r="R98" s="24"/>
      <c r="S98" s="24"/>
    </row>
    <row r="99" spans="1:61" s="19" customFormat="1" ht="47.25" customHeight="1" x14ac:dyDescent="0.2">
      <c r="A99" s="356"/>
      <c r="B99" s="374"/>
      <c r="C99" s="14" t="s">
        <v>19</v>
      </c>
      <c r="D99" s="277" t="s">
        <v>16</v>
      </c>
      <c r="E99" s="15">
        <f>338.07*1.05</f>
        <v>354.97</v>
      </c>
      <c r="F99" s="16">
        <f t="shared" si="0"/>
        <v>70.989999999999995</v>
      </c>
      <c r="G99" s="16">
        <f t="shared" si="1"/>
        <v>425.96</v>
      </c>
      <c r="H99" s="17"/>
      <c r="I99" s="18">
        <f t="shared" si="2"/>
        <v>63.89</v>
      </c>
      <c r="J99" s="18">
        <f t="shared" si="3"/>
        <v>418.86</v>
      </c>
      <c r="K99" s="4"/>
      <c r="L99" s="4"/>
      <c r="M99" s="4"/>
      <c r="N99" s="4"/>
      <c r="O99" s="4"/>
    </row>
    <row r="100" spans="1:61" s="19" customFormat="1" ht="38.25" customHeight="1" x14ac:dyDescent="0.2">
      <c r="A100" s="356"/>
      <c r="B100" s="374"/>
      <c r="C100" s="14" t="s">
        <v>20</v>
      </c>
      <c r="D100" s="277" t="s">
        <v>16</v>
      </c>
      <c r="E100" s="15">
        <f>168.57*1.05</f>
        <v>177</v>
      </c>
      <c r="F100" s="16">
        <f t="shared" si="0"/>
        <v>35.4</v>
      </c>
      <c r="G100" s="16">
        <f t="shared" si="1"/>
        <v>212.4</v>
      </c>
      <c r="H100" s="17" t="s">
        <v>21</v>
      </c>
      <c r="I100" s="18">
        <f t="shared" si="2"/>
        <v>31.86</v>
      </c>
      <c r="J100" s="18">
        <f t="shared" si="3"/>
        <v>208.86</v>
      </c>
      <c r="K100" s="4"/>
      <c r="L100" s="4"/>
      <c r="M100" s="4"/>
      <c r="N100" s="4"/>
      <c r="O100" s="4"/>
    </row>
    <row r="101" spans="1:61" s="19" customFormat="1" ht="36.75" customHeight="1" thickBot="1" x14ac:dyDescent="0.25">
      <c r="A101" s="356"/>
      <c r="B101" s="374"/>
      <c r="C101" s="25" t="s">
        <v>22</v>
      </c>
      <c r="D101" s="277" t="s">
        <v>16</v>
      </c>
      <c r="E101" s="15">
        <f>148.65*1.05</f>
        <v>156.08000000000001</v>
      </c>
      <c r="F101" s="16">
        <f t="shared" si="0"/>
        <v>31.22</v>
      </c>
      <c r="G101" s="16">
        <f t="shared" si="1"/>
        <v>187.3</v>
      </c>
      <c r="H101" s="17"/>
      <c r="I101" s="18">
        <f t="shared" si="2"/>
        <v>28.09</v>
      </c>
      <c r="J101" s="18">
        <f t="shared" si="3"/>
        <v>184.17</v>
      </c>
      <c r="K101" s="4"/>
      <c r="L101" s="4"/>
      <c r="M101" s="4"/>
      <c r="N101" s="4"/>
      <c r="O101" s="4"/>
    </row>
    <row r="102" spans="1:61" s="19" customFormat="1" ht="39" customHeight="1" x14ac:dyDescent="0.2">
      <c r="A102" s="356" t="s">
        <v>23</v>
      </c>
      <c r="B102" s="374" t="s">
        <v>24</v>
      </c>
      <c r="C102" s="277" t="s">
        <v>13</v>
      </c>
      <c r="D102" s="14" t="s">
        <v>14</v>
      </c>
      <c r="E102" s="15">
        <f>574.31*1.05</f>
        <v>603.03</v>
      </c>
      <c r="F102" s="16">
        <f t="shared" si="0"/>
        <v>120.61</v>
      </c>
      <c r="G102" s="16">
        <f t="shared" si="1"/>
        <v>723.64</v>
      </c>
      <c r="H102" s="9"/>
      <c r="I102" s="26">
        <f t="shared" si="2"/>
        <v>108.55</v>
      </c>
      <c r="J102" s="26">
        <f t="shared" si="3"/>
        <v>711.58</v>
      </c>
      <c r="K102" s="27"/>
      <c r="L102" s="27"/>
      <c r="M102" s="27"/>
      <c r="N102" s="28"/>
      <c r="O102" s="28"/>
      <c r="P102" s="29"/>
      <c r="Q102" s="29"/>
      <c r="R102" s="29"/>
      <c r="S102" s="29"/>
      <c r="T102" s="29"/>
    </row>
    <row r="103" spans="1:61" s="19" customFormat="1" ht="17.25" customHeight="1" x14ac:dyDescent="0.2">
      <c r="A103" s="356"/>
      <c r="B103" s="374"/>
      <c r="C103" s="277" t="s">
        <v>25</v>
      </c>
      <c r="D103" s="277" t="s">
        <v>16</v>
      </c>
      <c r="E103" s="15">
        <f>403.01*1.05</f>
        <v>423.16</v>
      </c>
      <c r="F103" s="16">
        <f t="shared" si="0"/>
        <v>84.63</v>
      </c>
      <c r="G103" s="16">
        <f t="shared" si="1"/>
        <v>507.79</v>
      </c>
      <c r="H103" s="17"/>
      <c r="I103" s="30">
        <f t="shared" si="2"/>
        <v>76.17</v>
      </c>
      <c r="J103" s="30">
        <f t="shared" si="3"/>
        <v>499.33</v>
      </c>
      <c r="K103" s="28"/>
      <c r="L103" s="28"/>
      <c r="M103" s="28"/>
      <c r="N103" s="28"/>
      <c r="O103" s="28"/>
      <c r="P103" s="29"/>
      <c r="Q103" s="29"/>
      <c r="R103" s="29"/>
      <c r="S103" s="29"/>
      <c r="T103" s="29"/>
    </row>
    <row r="104" spans="1:61" s="19" customFormat="1" ht="36" customHeight="1" x14ac:dyDescent="0.2">
      <c r="A104" s="356"/>
      <c r="B104" s="374"/>
      <c r="C104" s="14" t="s">
        <v>18</v>
      </c>
      <c r="D104" s="277" t="s">
        <v>16</v>
      </c>
      <c r="E104" s="15">
        <f>214.47*1.05</f>
        <v>225.19</v>
      </c>
      <c r="F104" s="16">
        <f t="shared" si="0"/>
        <v>45.04</v>
      </c>
      <c r="G104" s="16">
        <f t="shared" si="1"/>
        <v>270.23</v>
      </c>
      <c r="H104" s="17"/>
      <c r="I104" s="30">
        <f t="shared" si="2"/>
        <v>40.53</v>
      </c>
      <c r="J104" s="30">
        <f t="shared" si="3"/>
        <v>265.72000000000003</v>
      </c>
      <c r="K104" s="28"/>
      <c r="L104" s="28"/>
      <c r="M104" s="28"/>
      <c r="N104" s="28"/>
      <c r="O104" s="28"/>
      <c r="P104" s="29"/>
      <c r="Q104" s="29"/>
      <c r="R104" s="29"/>
      <c r="S104" s="29"/>
      <c r="T104" s="29"/>
    </row>
    <row r="105" spans="1:61" s="19" customFormat="1" ht="47.25" customHeight="1" x14ac:dyDescent="0.2">
      <c r="A105" s="356"/>
      <c r="B105" s="374"/>
      <c r="C105" s="14" t="s">
        <v>19</v>
      </c>
      <c r="D105" s="277" t="s">
        <v>16</v>
      </c>
      <c r="E105" s="15">
        <f>338.07*1.05</f>
        <v>354.97</v>
      </c>
      <c r="F105" s="16">
        <f t="shared" si="0"/>
        <v>70.989999999999995</v>
      </c>
      <c r="G105" s="16">
        <f t="shared" si="1"/>
        <v>425.96</v>
      </c>
      <c r="H105" s="17"/>
      <c r="I105" s="30">
        <f t="shared" si="2"/>
        <v>63.89</v>
      </c>
      <c r="J105" s="30">
        <f t="shared" si="3"/>
        <v>418.86</v>
      </c>
      <c r="K105" s="28"/>
      <c r="L105" s="28"/>
      <c r="M105" s="28"/>
      <c r="N105" s="28"/>
      <c r="O105" s="28"/>
      <c r="P105" s="29"/>
      <c r="Q105" s="29"/>
      <c r="R105" s="29"/>
      <c r="S105" s="29"/>
      <c r="T105" s="29"/>
    </row>
    <row r="106" spans="1:61" s="19" customFormat="1" ht="37.5" customHeight="1" x14ac:dyDescent="0.2">
      <c r="A106" s="356"/>
      <c r="B106" s="374"/>
      <c r="C106" s="14" t="s">
        <v>20</v>
      </c>
      <c r="D106" s="277" t="s">
        <v>16</v>
      </c>
      <c r="E106" s="15">
        <f>168.57*1.05</f>
        <v>177</v>
      </c>
      <c r="F106" s="16">
        <f t="shared" si="0"/>
        <v>35.4</v>
      </c>
      <c r="G106" s="16">
        <f t="shared" si="1"/>
        <v>212.4</v>
      </c>
      <c r="H106" s="17"/>
      <c r="I106" s="30">
        <f t="shared" si="2"/>
        <v>31.86</v>
      </c>
      <c r="J106" s="30">
        <f t="shared" si="3"/>
        <v>208.86</v>
      </c>
      <c r="K106" s="28"/>
      <c r="L106" s="28"/>
      <c r="M106" s="28"/>
      <c r="N106" s="28"/>
      <c r="O106" s="28"/>
      <c r="P106" s="29"/>
      <c r="Q106" s="29"/>
      <c r="R106" s="29"/>
      <c r="S106" s="29"/>
      <c r="T106" s="29"/>
    </row>
    <row r="107" spans="1:61" s="19" customFormat="1" ht="39.75" customHeight="1" thickBot="1" x14ac:dyDescent="0.25">
      <c r="A107" s="356"/>
      <c r="B107" s="374"/>
      <c r="C107" s="25" t="s">
        <v>22</v>
      </c>
      <c r="D107" s="277" t="s">
        <v>16</v>
      </c>
      <c r="E107" s="15">
        <f>148.65*1.05</f>
        <v>156.08000000000001</v>
      </c>
      <c r="F107" s="16">
        <f t="shared" si="0"/>
        <v>31.22</v>
      </c>
      <c r="G107" s="16">
        <f t="shared" si="1"/>
        <v>187.3</v>
      </c>
      <c r="H107" s="31"/>
      <c r="I107" s="32">
        <f t="shared" si="2"/>
        <v>28.09</v>
      </c>
      <c r="J107" s="32">
        <f t="shared" si="3"/>
        <v>184.17</v>
      </c>
      <c r="K107" s="33"/>
      <c r="L107" s="33"/>
      <c r="M107" s="33"/>
      <c r="N107" s="28"/>
      <c r="O107" s="28"/>
      <c r="P107" s="29"/>
      <c r="Q107" s="29"/>
      <c r="R107" s="29"/>
      <c r="S107" s="29"/>
      <c r="T107" s="29"/>
    </row>
    <row r="108" spans="1:61" s="19" customFormat="1" ht="37.5" customHeight="1" x14ac:dyDescent="0.2">
      <c r="A108" s="356" t="s">
        <v>26</v>
      </c>
      <c r="B108" s="375" t="s">
        <v>27</v>
      </c>
      <c r="C108" s="277" t="s">
        <v>13</v>
      </c>
      <c r="D108" s="14" t="s">
        <v>14</v>
      </c>
      <c r="E108" s="15">
        <f>508.16*1.05</f>
        <v>533.57000000000005</v>
      </c>
      <c r="F108" s="16">
        <f t="shared" si="0"/>
        <v>106.71</v>
      </c>
      <c r="G108" s="16">
        <f t="shared" si="1"/>
        <v>640.28</v>
      </c>
      <c r="H108" s="17"/>
      <c r="I108" s="18">
        <f t="shared" si="2"/>
        <v>96.04</v>
      </c>
      <c r="J108" s="18">
        <f t="shared" si="3"/>
        <v>629.61</v>
      </c>
      <c r="K108" s="4"/>
      <c r="L108" s="4"/>
      <c r="M108" s="4"/>
      <c r="N108" s="4"/>
      <c r="O108" s="4"/>
    </row>
    <row r="109" spans="1:61" s="19" customFormat="1" ht="17.25" customHeight="1" x14ac:dyDescent="0.2">
      <c r="A109" s="356"/>
      <c r="B109" s="375"/>
      <c r="C109" s="277" t="s">
        <v>25</v>
      </c>
      <c r="D109" s="277" t="s">
        <v>16</v>
      </c>
      <c r="E109" s="15">
        <f>359.88*1.05</f>
        <v>377.87</v>
      </c>
      <c r="F109" s="16">
        <f t="shared" si="0"/>
        <v>75.569999999999993</v>
      </c>
      <c r="G109" s="16">
        <f t="shared" si="1"/>
        <v>453.44</v>
      </c>
      <c r="H109" s="17"/>
      <c r="I109" s="18">
        <f t="shared" si="2"/>
        <v>68.02</v>
      </c>
      <c r="J109" s="18">
        <f t="shared" si="3"/>
        <v>445.89</v>
      </c>
      <c r="K109" s="4"/>
      <c r="L109" s="4"/>
      <c r="M109" s="4"/>
      <c r="N109" s="4"/>
      <c r="O109" s="4"/>
    </row>
    <row r="110" spans="1:61" s="19" customFormat="1" ht="33.75" customHeight="1" x14ac:dyDescent="0.2">
      <c r="A110" s="356"/>
      <c r="B110" s="375"/>
      <c r="C110" s="14" t="s">
        <v>18</v>
      </c>
      <c r="D110" s="277" t="s">
        <v>16</v>
      </c>
      <c r="E110" s="15">
        <f>214.47*1.05</f>
        <v>225.19</v>
      </c>
      <c r="F110" s="16">
        <f t="shared" si="0"/>
        <v>45.04</v>
      </c>
      <c r="G110" s="16">
        <f t="shared" si="1"/>
        <v>270.23</v>
      </c>
      <c r="H110" s="17"/>
      <c r="I110" s="18">
        <f t="shared" si="2"/>
        <v>40.53</v>
      </c>
      <c r="J110" s="18">
        <f t="shared" si="3"/>
        <v>265.72000000000003</v>
      </c>
      <c r="K110" s="4"/>
      <c r="L110" s="4"/>
      <c r="M110" s="4"/>
      <c r="N110" s="4"/>
      <c r="O110" s="4"/>
    </row>
    <row r="111" spans="1:61" s="19" customFormat="1" ht="51" customHeight="1" x14ac:dyDescent="0.2">
      <c r="A111" s="356"/>
      <c r="B111" s="375"/>
      <c r="C111" s="14" t="s">
        <v>19</v>
      </c>
      <c r="D111" s="277" t="s">
        <v>16</v>
      </c>
      <c r="E111" s="15">
        <f>338.07*1.05</f>
        <v>354.97</v>
      </c>
      <c r="F111" s="16">
        <f t="shared" si="0"/>
        <v>70.989999999999995</v>
      </c>
      <c r="G111" s="16">
        <f t="shared" si="1"/>
        <v>425.96</v>
      </c>
      <c r="H111" s="17"/>
      <c r="I111" s="18">
        <f t="shared" si="2"/>
        <v>63.89</v>
      </c>
      <c r="J111" s="18">
        <f t="shared" si="3"/>
        <v>418.86</v>
      </c>
      <c r="K111" s="4"/>
      <c r="L111" s="4"/>
      <c r="M111" s="4"/>
      <c r="N111" s="4"/>
      <c r="O111" s="4"/>
    </row>
    <row r="112" spans="1:61" s="19" customFormat="1" ht="37.5" customHeight="1" x14ac:dyDescent="0.2">
      <c r="A112" s="356"/>
      <c r="B112" s="375"/>
      <c r="C112" s="14" t="s">
        <v>20</v>
      </c>
      <c r="D112" s="277" t="s">
        <v>16</v>
      </c>
      <c r="E112" s="15">
        <f>168.57*1.05</f>
        <v>177</v>
      </c>
      <c r="F112" s="16">
        <f t="shared" si="0"/>
        <v>35.4</v>
      </c>
      <c r="G112" s="16">
        <f t="shared" si="1"/>
        <v>212.4</v>
      </c>
      <c r="H112" s="17"/>
      <c r="I112" s="18">
        <f t="shared" si="2"/>
        <v>31.86</v>
      </c>
      <c r="J112" s="18">
        <f t="shared" si="3"/>
        <v>208.86</v>
      </c>
      <c r="K112" s="4"/>
      <c r="L112" s="4"/>
      <c r="M112" s="4"/>
      <c r="N112" s="4"/>
      <c r="O112" s="4"/>
    </row>
    <row r="113" spans="1:61" s="19" customFormat="1" ht="36.75" customHeight="1" x14ac:dyDescent="0.2">
      <c r="A113" s="356"/>
      <c r="B113" s="375"/>
      <c r="C113" s="25" t="s">
        <v>22</v>
      </c>
      <c r="D113" s="277" t="s">
        <v>16</v>
      </c>
      <c r="E113" s="15">
        <f>148.65*1.05</f>
        <v>156.08000000000001</v>
      </c>
      <c r="F113" s="16">
        <f t="shared" si="0"/>
        <v>31.22</v>
      </c>
      <c r="G113" s="16">
        <f t="shared" si="1"/>
        <v>187.3</v>
      </c>
      <c r="H113" s="17"/>
      <c r="I113" s="18">
        <f t="shared" si="2"/>
        <v>28.09</v>
      </c>
      <c r="J113" s="18">
        <f t="shared" si="3"/>
        <v>184.17</v>
      </c>
      <c r="K113" s="4"/>
      <c r="L113" s="4"/>
      <c r="M113" s="4"/>
      <c r="N113" s="4"/>
      <c r="O113" s="4"/>
    </row>
    <row r="114" spans="1:61" s="19" customFormat="1" ht="37.5" customHeight="1" x14ac:dyDescent="0.2">
      <c r="A114" s="356" t="s">
        <v>28</v>
      </c>
      <c r="B114" s="374" t="s">
        <v>29</v>
      </c>
      <c r="C114" s="277" t="s">
        <v>13</v>
      </c>
      <c r="D114" s="14" t="s">
        <v>14</v>
      </c>
      <c r="E114" s="15">
        <f>710.9*1.05</f>
        <v>746.45</v>
      </c>
      <c r="F114" s="16">
        <f t="shared" si="0"/>
        <v>149.29</v>
      </c>
      <c r="G114" s="16">
        <f t="shared" si="1"/>
        <v>895.74</v>
      </c>
      <c r="H114" s="17"/>
      <c r="I114" s="18">
        <f t="shared" si="2"/>
        <v>134.36000000000001</v>
      </c>
      <c r="J114" s="18">
        <f t="shared" si="3"/>
        <v>880.81</v>
      </c>
      <c r="K114" s="4"/>
      <c r="L114" s="4"/>
      <c r="M114" s="4"/>
      <c r="N114" s="4"/>
      <c r="O114" s="4"/>
      <c r="BH114" s="20">
        <f>680.29*1.045</f>
        <v>710.9</v>
      </c>
      <c r="BI114" s="20">
        <f>BH114-E114</f>
        <v>-35.549999999999997</v>
      </c>
    </row>
    <row r="115" spans="1:61" s="19" customFormat="1" ht="17.25" customHeight="1" x14ac:dyDescent="0.2">
      <c r="A115" s="356"/>
      <c r="B115" s="374"/>
      <c r="C115" s="277" t="s">
        <v>25</v>
      </c>
      <c r="D115" s="277" t="s">
        <v>16</v>
      </c>
      <c r="E115" s="15">
        <f>570.17*1.05</f>
        <v>598.67999999999995</v>
      </c>
      <c r="F115" s="16">
        <f t="shared" si="0"/>
        <v>119.74</v>
      </c>
      <c r="G115" s="16">
        <f t="shared" si="1"/>
        <v>718.42</v>
      </c>
      <c r="H115" s="17"/>
      <c r="I115" s="18">
        <f t="shared" si="2"/>
        <v>107.76</v>
      </c>
      <c r="J115" s="18">
        <f t="shared" si="3"/>
        <v>706.44</v>
      </c>
      <c r="K115" s="4"/>
      <c r="L115" s="4"/>
      <c r="M115" s="4"/>
      <c r="N115" s="4"/>
      <c r="O115" s="4"/>
    </row>
    <row r="116" spans="1:61" s="19" customFormat="1" ht="36" customHeight="1" x14ac:dyDescent="0.2">
      <c r="A116" s="356"/>
      <c r="B116" s="374"/>
      <c r="C116" s="14" t="s">
        <v>18</v>
      </c>
      <c r="D116" s="277" t="s">
        <v>16</v>
      </c>
      <c r="E116" s="15">
        <f>214.47*1.05</f>
        <v>225.19</v>
      </c>
      <c r="F116" s="16">
        <f t="shared" si="0"/>
        <v>45.04</v>
      </c>
      <c r="G116" s="16">
        <f t="shared" si="1"/>
        <v>270.23</v>
      </c>
      <c r="H116" s="17"/>
      <c r="I116" s="18">
        <f t="shared" si="2"/>
        <v>40.53</v>
      </c>
      <c r="J116" s="18">
        <f t="shared" si="3"/>
        <v>265.72000000000003</v>
      </c>
      <c r="K116" s="4"/>
      <c r="L116" s="4"/>
      <c r="M116" s="4"/>
      <c r="N116" s="4"/>
      <c r="O116" s="4"/>
    </row>
    <row r="117" spans="1:61" s="19" customFormat="1" ht="49.5" customHeight="1" x14ac:dyDescent="0.2">
      <c r="A117" s="356"/>
      <c r="B117" s="374"/>
      <c r="C117" s="14" t="s">
        <v>19</v>
      </c>
      <c r="D117" s="277" t="s">
        <v>16</v>
      </c>
      <c r="E117" s="15">
        <f>338.07*1.05</f>
        <v>354.97</v>
      </c>
      <c r="F117" s="16">
        <f t="shared" si="0"/>
        <v>70.989999999999995</v>
      </c>
      <c r="G117" s="16">
        <f t="shared" si="1"/>
        <v>425.96</v>
      </c>
      <c r="H117" s="17"/>
      <c r="I117" s="18">
        <f t="shared" si="2"/>
        <v>63.89</v>
      </c>
      <c r="J117" s="18">
        <f t="shared" si="3"/>
        <v>418.86</v>
      </c>
      <c r="K117" s="4"/>
      <c r="L117" s="4"/>
      <c r="M117" s="4"/>
      <c r="N117" s="4"/>
      <c r="O117" s="4"/>
    </row>
    <row r="118" spans="1:61" s="19" customFormat="1" ht="36.75" customHeight="1" x14ac:dyDescent="0.2">
      <c r="A118" s="356"/>
      <c r="B118" s="374"/>
      <c r="C118" s="14" t="s">
        <v>20</v>
      </c>
      <c r="D118" s="277" t="s">
        <v>16</v>
      </c>
      <c r="E118" s="15">
        <f>168.57*1.05</f>
        <v>177</v>
      </c>
      <c r="F118" s="16">
        <f t="shared" si="0"/>
        <v>35.4</v>
      </c>
      <c r="G118" s="16">
        <f t="shared" si="1"/>
        <v>212.4</v>
      </c>
      <c r="H118" s="17"/>
      <c r="I118" s="18">
        <f t="shared" si="2"/>
        <v>31.86</v>
      </c>
      <c r="J118" s="18">
        <f t="shared" si="3"/>
        <v>208.86</v>
      </c>
      <c r="K118" s="4"/>
      <c r="L118" s="4"/>
      <c r="M118" s="4"/>
      <c r="N118" s="4"/>
      <c r="O118" s="4"/>
    </row>
    <row r="119" spans="1:61" s="19" customFormat="1" ht="40.5" customHeight="1" x14ac:dyDescent="0.2">
      <c r="A119" s="356"/>
      <c r="B119" s="374"/>
      <c r="C119" s="25" t="s">
        <v>22</v>
      </c>
      <c r="D119" s="277" t="s">
        <v>16</v>
      </c>
      <c r="E119" s="15">
        <f>148.65*1.05</f>
        <v>156.08000000000001</v>
      </c>
      <c r="F119" s="16">
        <f t="shared" si="0"/>
        <v>31.22</v>
      </c>
      <c r="G119" s="16">
        <f t="shared" si="1"/>
        <v>187.3</v>
      </c>
      <c r="H119" s="17"/>
      <c r="I119" s="18">
        <f t="shared" si="2"/>
        <v>28.09</v>
      </c>
      <c r="J119" s="18">
        <f t="shared" si="3"/>
        <v>184.17</v>
      </c>
      <c r="K119" s="4"/>
      <c r="L119" s="4"/>
      <c r="M119" s="4"/>
      <c r="N119" s="4"/>
      <c r="O119" s="4"/>
    </row>
    <row r="120" spans="1:61" s="19" customFormat="1" ht="40.5" customHeight="1" x14ac:dyDescent="0.2">
      <c r="A120" s="356" t="s">
        <v>30</v>
      </c>
      <c r="B120" s="374" t="s">
        <v>31</v>
      </c>
      <c r="C120" s="277" t="s">
        <v>13</v>
      </c>
      <c r="D120" s="14" t="s">
        <v>14</v>
      </c>
      <c r="E120" s="15">
        <f>612.26*1.05</f>
        <v>642.87</v>
      </c>
      <c r="F120" s="16">
        <f t="shared" si="0"/>
        <v>128.57</v>
      </c>
      <c r="G120" s="16">
        <f t="shared" si="1"/>
        <v>771.44</v>
      </c>
      <c r="H120" s="17"/>
      <c r="I120" s="18">
        <f t="shared" si="2"/>
        <v>115.72</v>
      </c>
      <c r="J120" s="18">
        <f t="shared" si="3"/>
        <v>758.59</v>
      </c>
      <c r="K120" s="4"/>
      <c r="L120" s="4"/>
      <c r="M120" s="4"/>
      <c r="N120" s="4"/>
      <c r="O120" s="4"/>
    </row>
    <row r="121" spans="1:61" s="19" customFormat="1" ht="18" customHeight="1" x14ac:dyDescent="0.2">
      <c r="A121" s="356"/>
      <c r="B121" s="374"/>
      <c r="C121" s="277" t="s">
        <v>25</v>
      </c>
      <c r="D121" s="277" t="s">
        <v>16</v>
      </c>
      <c r="E121" s="15">
        <f>513.15*1.05</f>
        <v>538.80999999999995</v>
      </c>
      <c r="F121" s="16">
        <f t="shared" si="0"/>
        <v>107.76</v>
      </c>
      <c r="G121" s="16">
        <f t="shared" si="1"/>
        <v>646.57000000000005</v>
      </c>
      <c r="H121" s="17"/>
      <c r="I121" s="18">
        <f t="shared" si="2"/>
        <v>96.99</v>
      </c>
      <c r="J121" s="18">
        <f t="shared" si="3"/>
        <v>635.79999999999995</v>
      </c>
      <c r="K121" s="4"/>
      <c r="L121" s="4"/>
      <c r="M121" s="4"/>
      <c r="N121" s="4"/>
      <c r="O121" s="4"/>
    </row>
    <row r="122" spans="1:61" s="19" customFormat="1" ht="36" customHeight="1" x14ac:dyDescent="0.2">
      <c r="A122" s="356"/>
      <c r="B122" s="374"/>
      <c r="C122" s="14" t="s">
        <v>18</v>
      </c>
      <c r="D122" s="277" t="s">
        <v>16</v>
      </c>
      <c r="E122" s="15">
        <f>214.47*1.05</f>
        <v>225.19</v>
      </c>
      <c r="F122" s="16">
        <f t="shared" si="0"/>
        <v>45.04</v>
      </c>
      <c r="G122" s="16">
        <f t="shared" si="1"/>
        <v>270.23</v>
      </c>
      <c r="H122" s="17"/>
      <c r="I122" s="18">
        <f t="shared" si="2"/>
        <v>40.53</v>
      </c>
      <c r="J122" s="18">
        <f t="shared" si="3"/>
        <v>265.72000000000003</v>
      </c>
      <c r="K122" s="4"/>
      <c r="L122" s="4"/>
      <c r="M122" s="4"/>
      <c r="N122" s="4"/>
      <c r="O122" s="4"/>
    </row>
    <row r="123" spans="1:61" s="19" customFormat="1" ht="51.75" customHeight="1" x14ac:dyDescent="0.2">
      <c r="A123" s="356"/>
      <c r="B123" s="374"/>
      <c r="C123" s="14" t="s">
        <v>19</v>
      </c>
      <c r="D123" s="277" t="s">
        <v>16</v>
      </c>
      <c r="E123" s="15">
        <f>338.07*1.05</f>
        <v>354.97</v>
      </c>
      <c r="F123" s="16">
        <f t="shared" si="0"/>
        <v>70.989999999999995</v>
      </c>
      <c r="G123" s="16">
        <f t="shared" si="1"/>
        <v>425.96</v>
      </c>
      <c r="H123" s="17"/>
      <c r="I123" s="18">
        <f t="shared" si="2"/>
        <v>63.89</v>
      </c>
      <c r="J123" s="18">
        <f t="shared" si="3"/>
        <v>418.86</v>
      </c>
      <c r="K123" s="4"/>
      <c r="L123" s="4"/>
      <c r="M123" s="4"/>
      <c r="N123" s="4"/>
      <c r="O123" s="4"/>
    </row>
    <row r="124" spans="1:61" s="19" customFormat="1" ht="39" customHeight="1" x14ac:dyDescent="0.2">
      <c r="A124" s="356"/>
      <c r="B124" s="374"/>
      <c r="C124" s="14" t="s">
        <v>20</v>
      </c>
      <c r="D124" s="277" t="s">
        <v>16</v>
      </c>
      <c r="E124" s="15">
        <f>168.57*1.05</f>
        <v>177</v>
      </c>
      <c r="F124" s="16">
        <f t="shared" si="0"/>
        <v>35.4</v>
      </c>
      <c r="G124" s="16">
        <f t="shared" si="1"/>
        <v>212.4</v>
      </c>
      <c r="H124" s="17"/>
      <c r="I124" s="18">
        <f t="shared" si="2"/>
        <v>31.86</v>
      </c>
      <c r="J124" s="18">
        <f t="shared" si="3"/>
        <v>208.86</v>
      </c>
      <c r="K124" s="4"/>
      <c r="L124" s="4"/>
      <c r="M124" s="4"/>
      <c r="N124" s="4"/>
      <c r="O124" s="4"/>
    </row>
    <row r="125" spans="1:61" s="19" customFormat="1" ht="39" customHeight="1" x14ac:dyDescent="0.2">
      <c r="A125" s="356"/>
      <c r="B125" s="374"/>
      <c r="C125" s="25" t="s">
        <v>22</v>
      </c>
      <c r="D125" s="277" t="s">
        <v>16</v>
      </c>
      <c r="E125" s="15">
        <f>148.65*1.05</f>
        <v>156.08000000000001</v>
      </c>
      <c r="F125" s="16">
        <f t="shared" si="0"/>
        <v>31.22</v>
      </c>
      <c r="G125" s="16">
        <f t="shared" si="1"/>
        <v>187.3</v>
      </c>
      <c r="H125" s="17"/>
      <c r="I125" s="18">
        <f t="shared" si="2"/>
        <v>28.09</v>
      </c>
      <c r="J125" s="18">
        <f t="shared" si="3"/>
        <v>184.17</v>
      </c>
      <c r="K125" s="4"/>
      <c r="L125" s="4"/>
      <c r="M125" s="4"/>
      <c r="N125" s="4"/>
      <c r="O125" s="4"/>
    </row>
    <row r="126" spans="1:61" s="19" customFormat="1" ht="38.25" customHeight="1" x14ac:dyDescent="0.2">
      <c r="A126" s="356" t="s">
        <v>32</v>
      </c>
      <c r="B126" s="374" t="s">
        <v>33</v>
      </c>
      <c r="C126" s="277" t="s">
        <v>13</v>
      </c>
      <c r="D126" s="14" t="s">
        <v>14</v>
      </c>
      <c r="E126" s="15">
        <f>646.28*1.05</f>
        <v>678.59</v>
      </c>
      <c r="F126" s="16">
        <f t="shared" si="0"/>
        <v>135.72</v>
      </c>
      <c r="G126" s="16">
        <f t="shared" si="1"/>
        <v>814.31</v>
      </c>
      <c r="H126" s="17"/>
      <c r="I126" s="18">
        <f t="shared" si="2"/>
        <v>122.15</v>
      </c>
      <c r="J126" s="18">
        <f t="shared" si="3"/>
        <v>800.74</v>
      </c>
      <c r="K126" s="4"/>
      <c r="L126" s="4"/>
      <c r="M126" s="4"/>
      <c r="N126" s="4"/>
      <c r="O126" s="4"/>
    </row>
    <row r="127" spans="1:61" s="19" customFormat="1" ht="17.25" customHeight="1" x14ac:dyDescent="0.2">
      <c r="A127" s="356"/>
      <c r="B127" s="374"/>
      <c r="C127" s="277" t="s">
        <v>25</v>
      </c>
      <c r="D127" s="277" t="s">
        <v>16</v>
      </c>
      <c r="E127" s="15">
        <f>541.66*1.05</f>
        <v>568.74</v>
      </c>
      <c r="F127" s="16">
        <f t="shared" si="0"/>
        <v>113.75</v>
      </c>
      <c r="G127" s="16">
        <f t="shared" si="1"/>
        <v>682.49</v>
      </c>
      <c r="H127" s="17"/>
      <c r="I127" s="18">
        <f t="shared" si="2"/>
        <v>102.37</v>
      </c>
      <c r="J127" s="18">
        <f t="shared" si="3"/>
        <v>671.11</v>
      </c>
      <c r="K127" s="4"/>
      <c r="L127" s="4"/>
      <c r="M127" s="4"/>
      <c r="N127" s="4"/>
      <c r="O127" s="4"/>
    </row>
    <row r="128" spans="1:61" s="19" customFormat="1" ht="38.25" customHeight="1" x14ac:dyDescent="0.2">
      <c r="A128" s="356"/>
      <c r="B128" s="374"/>
      <c r="C128" s="14" t="s">
        <v>18</v>
      </c>
      <c r="D128" s="277" t="s">
        <v>16</v>
      </c>
      <c r="E128" s="15">
        <f>214.47*1.05</f>
        <v>225.19</v>
      </c>
      <c r="F128" s="16">
        <f t="shared" si="0"/>
        <v>45.04</v>
      </c>
      <c r="G128" s="16">
        <f t="shared" si="1"/>
        <v>270.23</v>
      </c>
      <c r="H128" s="17"/>
      <c r="I128" s="18">
        <f t="shared" si="2"/>
        <v>40.53</v>
      </c>
      <c r="J128" s="18">
        <f t="shared" si="3"/>
        <v>265.72000000000003</v>
      </c>
      <c r="K128" s="4"/>
      <c r="L128" s="4"/>
      <c r="M128" s="4"/>
      <c r="N128" s="4"/>
      <c r="O128" s="4"/>
    </row>
    <row r="129" spans="1:15" s="19" customFormat="1" ht="48" customHeight="1" x14ac:dyDescent="0.2">
      <c r="A129" s="356"/>
      <c r="B129" s="374"/>
      <c r="C129" s="14" t="s">
        <v>19</v>
      </c>
      <c r="D129" s="277" t="s">
        <v>16</v>
      </c>
      <c r="E129" s="15">
        <f>338.07*1.05</f>
        <v>354.97</v>
      </c>
      <c r="F129" s="16">
        <f t="shared" si="0"/>
        <v>70.989999999999995</v>
      </c>
      <c r="G129" s="16">
        <f t="shared" si="1"/>
        <v>425.96</v>
      </c>
      <c r="H129" s="17"/>
      <c r="I129" s="18">
        <f t="shared" si="2"/>
        <v>63.89</v>
      </c>
      <c r="J129" s="18">
        <f t="shared" si="3"/>
        <v>418.86</v>
      </c>
      <c r="K129" s="4"/>
      <c r="L129" s="4"/>
      <c r="M129" s="4"/>
      <c r="N129" s="4"/>
      <c r="O129" s="4"/>
    </row>
    <row r="130" spans="1:15" s="19" customFormat="1" ht="38.25" customHeight="1" x14ac:dyDescent="0.2">
      <c r="A130" s="356"/>
      <c r="B130" s="374"/>
      <c r="C130" s="14" t="s">
        <v>20</v>
      </c>
      <c r="D130" s="277" t="s">
        <v>16</v>
      </c>
      <c r="E130" s="15">
        <f>168.57*1.05</f>
        <v>177</v>
      </c>
      <c r="F130" s="16">
        <f t="shared" si="0"/>
        <v>35.4</v>
      </c>
      <c r="G130" s="16">
        <f t="shared" si="1"/>
        <v>212.4</v>
      </c>
      <c r="H130" s="17"/>
      <c r="I130" s="18">
        <f t="shared" si="2"/>
        <v>31.86</v>
      </c>
      <c r="J130" s="18">
        <f t="shared" si="3"/>
        <v>208.86</v>
      </c>
      <c r="K130" s="4"/>
      <c r="L130" s="4"/>
      <c r="M130" s="4"/>
      <c r="N130" s="4"/>
      <c r="O130" s="4"/>
    </row>
    <row r="131" spans="1:15" s="19" customFormat="1" ht="38.25" customHeight="1" x14ac:dyDescent="0.2">
      <c r="A131" s="356"/>
      <c r="B131" s="374"/>
      <c r="C131" s="25" t="s">
        <v>22</v>
      </c>
      <c r="D131" s="277" t="s">
        <v>16</v>
      </c>
      <c r="E131" s="15">
        <f>148.65*1.05</f>
        <v>156.08000000000001</v>
      </c>
      <c r="F131" s="16">
        <f t="shared" si="0"/>
        <v>31.22</v>
      </c>
      <c r="G131" s="16">
        <f t="shared" si="1"/>
        <v>187.3</v>
      </c>
      <c r="H131" s="17"/>
      <c r="I131" s="18">
        <f t="shared" si="2"/>
        <v>28.09</v>
      </c>
      <c r="J131" s="18">
        <f t="shared" si="3"/>
        <v>184.17</v>
      </c>
      <c r="K131" s="4"/>
      <c r="L131" s="4"/>
      <c r="M131" s="4"/>
      <c r="N131" s="4"/>
      <c r="O131" s="4"/>
    </row>
    <row r="132" spans="1:15" s="19" customFormat="1" ht="39" customHeight="1" x14ac:dyDescent="0.2">
      <c r="A132" s="356" t="s">
        <v>34</v>
      </c>
      <c r="B132" s="374" t="s">
        <v>35</v>
      </c>
      <c r="C132" s="277" t="s">
        <v>13</v>
      </c>
      <c r="D132" s="14" t="s">
        <v>14</v>
      </c>
      <c r="E132" s="15">
        <f>1494.56*1.05</f>
        <v>1569.29</v>
      </c>
      <c r="F132" s="16">
        <f t="shared" si="0"/>
        <v>313.86</v>
      </c>
      <c r="G132" s="16">
        <f t="shared" si="1"/>
        <v>1883.15</v>
      </c>
      <c r="H132" s="17"/>
      <c r="I132" s="18">
        <f t="shared" si="2"/>
        <v>282.47000000000003</v>
      </c>
      <c r="J132" s="18">
        <f t="shared" si="3"/>
        <v>1851.76</v>
      </c>
      <c r="K132" s="4"/>
      <c r="L132" s="4"/>
      <c r="M132" s="4"/>
      <c r="N132" s="4"/>
      <c r="O132" s="4"/>
    </row>
    <row r="133" spans="1:15" s="19" customFormat="1" ht="17.25" customHeight="1" x14ac:dyDescent="0.2">
      <c r="A133" s="356"/>
      <c r="B133" s="374"/>
      <c r="C133" s="277" t="s">
        <v>25</v>
      </c>
      <c r="D133" s="277" t="s">
        <v>16</v>
      </c>
      <c r="E133" s="15">
        <f>1090*1.05</f>
        <v>1144.5</v>
      </c>
      <c r="F133" s="16">
        <f t="shared" si="0"/>
        <v>228.9</v>
      </c>
      <c r="G133" s="16">
        <f t="shared" si="1"/>
        <v>1373.4</v>
      </c>
      <c r="H133" s="17"/>
      <c r="I133" s="18">
        <f t="shared" si="2"/>
        <v>206.01</v>
      </c>
      <c r="J133" s="18">
        <f t="shared" si="3"/>
        <v>1350.51</v>
      </c>
      <c r="K133" s="4"/>
      <c r="L133" s="4"/>
      <c r="M133" s="4"/>
      <c r="N133" s="4"/>
      <c r="O133" s="4"/>
    </row>
    <row r="134" spans="1:15" s="19" customFormat="1" ht="42" customHeight="1" x14ac:dyDescent="0.2">
      <c r="A134" s="356"/>
      <c r="B134" s="374"/>
      <c r="C134" s="14" t="s">
        <v>18</v>
      </c>
      <c r="D134" s="277" t="s">
        <v>16</v>
      </c>
      <c r="E134" s="15">
        <f>214.47*1.05</f>
        <v>225.19</v>
      </c>
      <c r="F134" s="16">
        <f t="shared" si="0"/>
        <v>45.04</v>
      </c>
      <c r="G134" s="16">
        <f t="shared" si="1"/>
        <v>270.23</v>
      </c>
      <c r="H134" s="17"/>
      <c r="I134" s="18">
        <f t="shared" si="2"/>
        <v>40.53</v>
      </c>
      <c r="J134" s="18">
        <f t="shared" si="3"/>
        <v>265.72000000000003</v>
      </c>
      <c r="K134" s="4"/>
      <c r="L134" s="4"/>
      <c r="M134" s="4"/>
      <c r="N134" s="4"/>
      <c r="O134" s="4"/>
    </row>
    <row r="135" spans="1:15" s="19" customFormat="1" ht="48" customHeight="1" x14ac:dyDescent="0.2">
      <c r="A135" s="356"/>
      <c r="B135" s="374"/>
      <c r="C135" s="14" t="s">
        <v>19</v>
      </c>
      <c r="D135" s="277" t="s">
        <v>16</v>
      </c>
      <c r="E135" s="15">
        <f>608.52*1.05</f>
        <v>638.95000000000005</v>
      </c>
      <c r="F135" s="16">
        <f t="shared" si="0"/>
        <v>127.79</v>
      </c>
      <c r="G135" s="16">
        <f t="shared" si="1"/>
        <v>766.74</v>
      </c>
      <c r="H135" s="17"/>
      <c r="I135" s="18">
        <f t="shared" si="2"/>
        <v>115.01</v>
      </c>
      <c r="J135" s="18">
        <f t="shared" si="3"/>
        <v>753.96</v>
      </c>
      <c r="K135" s="4"/>
      <c r="L135" s="4"/>
      <c r="M135" s="4"/>
      <c r="N135" s="4"/>
      <c r="O135" s="4"/>
    </row>
    <row r="136" spans="1:15" s="19" customFormat="1" ht="38.25" customHeight="1" x14ac:dyDescent="0.2">
      <c r="A136" s="356"/>
      <c r="B136" s="374"/>
      <c r="C136" s="25" t="s">
        <v>22</v>
      </c>
      <c r="D136" s="277" t="s">
        <v>16</v>
      </c>
      <c r="E136" s="15">
        <f>148.65*1.05</f>
        <v>156.08000000000001</v>
      </c>
      <c r="F136" s="16">
        <f t="shared" si="0"/>
        <v>31.22</v>
      </c>
      <c r="G136" s="16">
        <f t="shared" si="1"/>
        <v>187.3</v>
      </c>
      <c r="H136" s="17"/>
      <c r="I136" s="18">
        <f t="shared" si="2"/>
        <v>28.09</v>
      </c>
      <c r="J136" s="18">
        <f t="shared" si="3"/>
        <v>184.17</v>
      </c>
      <c r="K136" s="4"/>
      <c r="L136" s="4"/>
      <c r="M136" s="4"/>
      <c r="N136" s="4"/>
      <c r="O136" s="4"/>
    </row>
    <row r="137" spans="1:15" s="19" customFormat="1" ht="39.75" customHeight="1" x14ac:dyDescent="0.2">
      <c r="A137" s="356" t="s">
        <v>36</v>
      </c>
      <c r="B137" s="374" t="s">
        <v>37</v>
      </c>
      <c r="C137" s="277" t="s">
        <v>13</v>
      </c>
      <c r="D137" s="14" t="s">
        <v>14</v>
      </c>
      <c r="E137" s="15">
        <f>1002.55*1.05</f>
        <v>1052.68</v>
      </c>
      <c r="F137" s="16">
        <f t="shared" si="0"/>
        <v>210.54</v>
      </c>
      <c r="G137" s="16">
        <f t="shared" si="1"/>
        <v>1263.22</v>
      </c>
      <c r="H137" s="17"/>
      <c r="I137" s="18">
        <f t="shared" si="2"/>
        <v>189.48</v>
      </c>
      <c r="J137" s="18">
        <f t="shared" si="3"/>
        <v>1242.1600000000001</v>
      </c>
      <c r="K137" s="4"/>
      <c r="L137" s="4"/>
      <c r="M137" s="4"/>
      <c r="N137" s="4"/>
      <c r="O137" s="4"/>
    </row>
    <row r="138" spans="1:15" s="19" customFormat="1" ht="15.6" customHeight="1" x14ac:dyDescent="0.2">
      <c r="A138" s="356"/>
      <c r="B138" s="374"/>
      <c r="C138" s="277" t="s">
        <v>25</v>
      </c>
      <c r="D138" s="277" t="s">
        <v>16</v>
      </c>
      <c r="E138" s="15">
        <f>727.62*1.05</f>
        <v>764</v>
      </c>
      <c r="F138" s="16">
        <f t="shared" si="0"/>
        <v>152.80000000000001</v>
      </c>
      <c r="G138" s="16">
        <f t="shared" si="1"/>
        <v>916.8</v>
      </c>
      <c r="H138" s="17"/>
      <c r="I138" s="18">
        <f t="shared" si="2"/>
        <v>137.52000000000001</v>
      </c>
      <c r="J138" s="18">
        <f t="shared" si="3"/>
        <v>901.52</v>
      </c>
      <c r="K138" s="4"/>
      <c r="L138" s="4"/>
      <c r="M138" s="4"/>
      <c r="N138" s="4"/>
      <c r="O138" s="4"/>
    </row>
    <row r="139" spans="1:15" s="19" customFormat="1" ht="38.25" customHeight="1" x14ac:dyDescent="0.2">
      <c r="A139" s="356"/>
      <c r="B139" s="374"/>
      <c r="C139" s="14" t="s">
        <v>18</v>
      </c>
      <c r="D139" s="277" t="s">
        <v>16</v>
      </c>
      <c r="E139" s="15">
        <f>214.47*1.05</f>
        <v>225.19</v>
      </c>
      <c r="F139" s="16">
        <f t="shared" si="0"/>
        <v>45.04</v>
      </c>
      <c r="G139" s="16">
        <f t="shared" si="1"/>
        <v>270.23</v>
      </c>
      <c r="H139" s="17"/>
      <c r="I139" s="18">
        <f t="shared" si="2"/>
        <v>40.53</v>
      </c>
      <c r="J139" s="18">
        <f t="shared" si="3"/>
        <v>265.72000000000003</v>
      </c>
      <c r="K139" s="4"/>
      <c r="L139" s="4"/>
      <c r="M139" s="4"/>
      <c r="N139" s="4"/>
      <c r="O139" s="4"/>
    </row>
    <row r="140" spans="1:15" s="19" customFormat="1" ht="48" customHeight="1" x14ac:dyDescent="0.2">
      <c r="A140" s="356"/>
      <c r="B140" s="374"/>
      <c r="C140" s="14" t="s">
        <v>19</v>
      </c>
      <c r="D140" s="277" t="s">
        <v>16</v>
      </c>
      <c r="E140" s="15">
        <f>608.52*1.05</f>
        <v>638.95000000000005</v>
      </c>
      <c r="F140" s="16">
        <f t="shared" si="0"/>
        <v>127.79</v>
      </c>
      <c r="G140" s="16">
        <f t="shared" si="1"/>
        <v>766.74</v>
      </c>
      <c r="H140" s="17"/>
      <c r="I140" s="18">
        <f t="shared" si="2"/>
        <v>115.01</v>
      </c>
      <c r="J140" s="18">
        <f t="shared" si="3"/>
        <v>753.96</v>
      </c>
      <c r="K140" s="4"/>
      <c r="L140" s="4"/>
      <c r="M140" s="4"/>
      <c r="N140" s="4"/>
      <c r="O140" s="4"/>
    </row>
    <row r="141" spans="1:15" s="19" customFormat="1" ht="36.75" customHeight="1" x14ac:dyDescent="0.2">
      <c r="A141" s="356"/>
      <c r="B141" s="374"/>
      <c r="C141" s="14" t="s">
        <v>20</v>
      </c>
      <c r="D141" s="277" t="s">
        <v>16</v>
      </c>
      <c r="E141" s="15">
        <f>168.57*1.05</f>
        <v>177</v>
      </c>
      <c r="F141" s="16">
        <f t="shared" si="0"/>
        <v>35.4</v>
      </c>
      <c r="G141" s="16">
        <f t="shared" si="1"/>
        <v>212.4</v>
      </c>
      <c r="H141" s="17"/>
      <c r="I141" s="18">
        <f t="shared" si="2"/>
        <v>31.86</v>
      </c>
      <c r="J141" s="18">
        <f t="shared" si="3"/>
        <v>208.86</v>
      </c>
      <c r="K141" s="4"/>
      <c r="L141" s="4"/>
      <c r="M141" s="4"/>
      <c r="N141" s="4"/>
      <c r="O141" s="4"/>
    </row>
    <row r="142" spans="1:15" s="19" customFormat="1" ht="42" customHeight="1" x14ac:dyDescent="0.2">
      <c r="A142" s="356"/>
      <c r="B142" s="374"/>
      <c r="C142" s="25" t="s">
        <v>22</v>
      </c>
      <c r="D142" s="277" t="s">
        <v>16</v>
      </c>
      <c r="E142" s="15">
        <f>148.65*1.05</f>
        <v>156.08000000000001</v>
      </c>
      <c r="F142" s="16">
        <f t="shared" si="0"/>
        <v>31.22</v>
      </c>
      <c r="G142" s="16">
        <f t="shared" si="1"/>
        <v>187.3</v>
      </c>
      <c r="H142" s="17"/>
      <c r="I142" s="18">
        <f t="shared" si="2"/>
        <v>28.09</v>
      </c>
      <c r="J142" s="18">
        <f t="shared" si="3"/>
        <v>184.17</v>
      </c>
      <c r="K142" s="4"/>
      <c r="L142" s="4"/>
      <c r="M142" s="4"/>
      <c r="N142" s="4"/>
      <c r="O142" s="4"/>
    </row>
    <row r="143" spans="1:15" s="19" customFormat="1" ht="40.5" customHeight="1" x14ac:dyDescent="0.2">
      <c r="A143" s="356" t="s">
        <v>38</v>
      </c>
      <c r="B143" s="374" t="s">
        <v>39</v>
      </c>
      <c r="C143" s="277" t="s">
        <v>13</v>
      </c>
      <c r="D143" s="14" t="s">
        <v>14</v>
      </c>
      <c r="E143" s="15">
        <f>743.53*1.05</f>
        <v>780.71</v>
      </c>
      <c r="F143" s="16">
        <f t="shared" si="0"/>
        <v>156.13999999999999</v>
      </c>
      <c r="G143" s="16">
        <f t="shared" si="1"/>
        <v>936.85</v>
      </c>
      <c r="H143" s="17"/>
      <c r="I143" s="18">
        <f t="shared" si="2"/>
        <v>140.53</v>
      </c>
      <c r="J143" s="18">
        <f t="shared" si="3"/>
        <v>921.24</v>
      </c>
      <c r="K143" s="4"/>
      <c r="L143" s="4"/>
      <c r="M143" s="4"/>
      <c r="N143" s="4"/>
      <c r="O143" s="4"/>
    </row>
    <row r="144" spans="1:15" s="19" customFormat="1" ht="33.75" customHeight="1" x14ac:dyDescent="0.2">
      <c r="A144" s="356"/>
      <c r="B144" s="374"/>
      <c r="C144" s="277" t="s">
        <v>40</v>
      </c>
      <c r="D144" s="277" t="s">
        <v>16</v>
      </c>
      <c r="E144" s="15">
        <f>440.48*1.05</f>
        <v>462.5</v>
      </c>
      <c r="F144" s="16">
        <f t="shared" si="0"/>
        <v>92.5</v>
      </c>
      <c r="G144" s="16">
        <f t="shared" si="1"/>
        <v>555</v>
      </c>
      <c r="H144" s="17"/>
      <c r="I144" s="18">
        <f t="shared" si="2"/>
        <v>83.25</v>
      </c>
      <c r="J144" s="18">
        <f t="shared" si="3"/>
        <v>545.75</v>
      </c>
      <c r="K144" s="4"/>
      <c r="L144" s="4"/>
      <c r="M144" s="4"/>
      <c r="N144" s="4"/>
      <c r="O144" s="4"/>
    </row>
    <row r="145" spans="1:19" s="19" customFormat="1" ht="41.25" customHeight="1" x14ac:dyDescent="0.2">
      <c r="A145" s="356"/>
      <c r="B145" s="374"/>
      <c r="C145" s="14" t="s">
        <v>18</v>
      </c>
      <c r="D145" s="277" t="s">
        <v>16</v>
      </c>
      <c r="E145" s="15">
        <f>214.47*1.05</f>
        <v>225.19</v>
      </c>
      <c r="F145" s="16">
        <f t="shared" si="0"/>
        <v>45.04</v>
      </c>
      <c r="G145" s="16">
        <f t="shared" si="1"/>
        <v>270.23</v>
      </c>
      <c r="H145" s="17"/>
      <c r="I145" s="18">
        <f t="shared" si="2"/>
        <v>40.53</v>
      </c>
      <c r="J145" s="18">
        <f t="shared" si="3"/>
        <v>265.72000000000003</v>
      </c>
      <c r="K145" s="4"/>
      <c r="L145" s="4"/>
      <c r="M145" s="4"/>
      <c r="N145" s="4"/>
      <c r="O145" s="4"/>
    </row>
    <row r="146" spans="1:19" s="19" customFormat="1" ht="49.5" customHeight="1" x14ac:dyDescent="0.2">
      <c r="A146" s="356"/>
      <c r="B146" s="374"/>
      <c r="C146" s="14" t="s">
        <v>19</v>
      </c>
      <c r="D146" s="277" t="s">
        <v>16</v>
      </c>
      <c r="E146" s="15">
        <f>371.88*1.05</f>
        <v>390.47</v>
      </c>
      <c r="F146" s="16">
        <f t="shared" si="0"/>
        <v>78.09</v>
      </c>
      <c r="G146" s="16">
        <f t="shared" si="1"/>
        <v>468.56</v>
      </c>
      <c r="H146" s="17"/>
      <c r="I146" s="18">
        <f t="shared" si="2"/>
        <v>70.28</v>
      </c>
      <c r="J146" s="18">
        <f t="shared" si="3"/>
        <v>460.75</v>
      </c>
      <c r="K146" s="4"/>
      <c r="L146" s="4"/>
      <c r="M146" s="4"/>
      <c r="N146" s="4"/>
      <c r="O146" s="4"/>
    </row>
    <row r="147" spans="1:19" s="19" customFormat="1" ht="36.75" customHeight="1" x14ac:dyDescent="0.2">
      <c r="A147" s="356"/>
      <c r="B147" s="374"/>
      <c r="C147" s="25" t="s">
        <v>22</v>
      </c>
      <c r="D147" s="277" t="s">
        <v>16</v>
      </c>
      <c r="E147" s="15">
        <f>148.65*1.05</f>
        <v>156.08000000000001</v>
      </c>
      <c r="F147" s="16">
        <f t="shared" si="0"/>
        <v>31.22</v>
      </c>
      <c r="G147" s="16">
        <f t="shared" si="1"/>
        <v>187.3</v>
      </c>
      <c r="H147" s="17"/>
      <c r="I147" s="18">
        <f t="shared" si="2"/>
        <v>28.09</v>
      </c>
      <c r="J147" s="18">
        <f t="shared" si="3"/>
        <v>184.17</v>
      </c>
      <c r="K147" s="4"/>
      <c r="L147" s="4"/>
      <c r="M147" s="4"/>
      <c r="N147" s="4"/>
      <c r="O147" s="4"/>
    </row>
    <row r="148" spans="1:19" s="19" customFormat="1" ht="39" customHeight="1" x14ac:dyDescent="0.2">
      <c r="A148" s="356" t="s">
        <v>41</v>
      </c>
      <c r="B148" s="374" t="s">
        <v>42</v>
      </c>
      <c r="C148" s="277" t="s">
        <v>13</v>
      </c>
      <c r="D148" s="14" t="s">
        <v>14</v>
      </c>
      <c r="E148" s="15">
        <f>751.02*1.05</f>
        <v>788.57</v>
      </c>
      <c r="F148" s="16">
        <f t="shared" si="0"/>
        <v>157.71</v>
      </c>
      <c r="G148" s="16">
        <f t="shared" si="1"/>
        <v>946.28</v>
      </c>
      <c r="H148" s="17"/>
      <c r="I148" s="18">
        <f t="shared" si="2"/>
        <v>141.94</v>
      </c>
      <c r="J148" s="18">
        <f t="shared" si="3"/>
        <v>930.51</v>
      </c>
      <c r="K148" s="4"/>
      <c r="L148" s="4"/>
      <c r="M148" s="4"/>
      <c r="N148" s="4"/>
      <c r="O148" s="4"/>
    </row>
    <row r="149" spans="1:19" s="19" customFormat="1" ht="36" customHeight="1" x14ac:dyDescent="0.2">
      <c r="A149" s="356"/>
      <c r="B149" s="374"/>
      <c r="C149" s="277" t="s">
        <v>40</v>
      </c>
      <c r="D149" s="277" t="s">
        <v>16</v>
      </c>
      <c r="E149" s="15">
        <f>440.48*1.05</f>
        <v>462.5</v>
      </c>
      <c r="F149" s="16">
        <f t="shared" si="0"/>
        <v>92.5</v>
      </c>
      <c r="G149" s="16">
        <f t="shared" si="1"/>
        <v>555</v>
      </c>
      <c r="H149" s="17"/>
      <c r="I149" s="18">
        <f t="shared" si="2"/>
        <v>83.25</v>
      </c>
      <c r="J149" s="18">
        <f t="shared" si="3"/>
        <v>545.75</v>
      </c>
      <c r="K149" s="4"/>
      <c r="L149" s="4"/>
      <c r="M149" s="4"/>
      <c r="N149" s="4"/>
      <c r="O149" s="4"/>
    </row>
    <row r="150" spans="1:19" s="19" customFormat="1" ht="39.75" customHeight="1" x14ac:dyDescent="0.2">
      <c r="A150" s="356"/>
      <c r="B150" s="374"/>
      <c r="C150" s="14" t="s">
        <v>18</v>
      </c>
      <c r="D150" s="277" t="s">
        <v>16</v>
      </c>
      <c r="E150" s="15">
        <f>214.47*1.05</f>
        <v>225.19</v>
      </c>
      <c r="F150" s="16">
        <f t="shared" si="0"/>
        <v>45.04</v>
      </c>
      <c r="G150" s="16">
        <f t="shared" si="1"/>
        <v>270.23</v>
      </c>
      <c r="H150" s="17"/>
      <c r="I150" s="18">
        <f t="shared" si="2"/>
        <v>40.53</v>
      </c>
      <c r="J150" s="18">
        <f t="shared" si="3"/>
        <v>265.72000000000003</v>
      </c>
      <c r="K150" s="4"/>
      <c r="L150" s="4"/>
      <c r="M150" s="4"/>
      <c r="N150" s="4"/>
      <c r="O150" s="4"/>
    </row>
    <row r="151" spans="1:19" s="19" customFormat="1" ht="51" customHeight="1" x14ac:dyDescent="0.2">
      <c r="A151" s="356"/>
      <c r="B151" s="374"/>
      <c r="C151" s="14" t="s">
        <v>19</v>
      </c>
      <c r="D151" s="277" t="s">
        <v>16</v>
      </c>
      <c r="E151" s="15">
        <f>371.88*1.05</f>
        <v>390.47</v>
      </c>
      <c r="F151" s="16">
        <f t="shared" si="0"/>
        <v>78.09</v>
      </c>
      <c r="G151" s="16">
        <f t="shared" si="1"/>
        <v>468.56</v>
      </c>
      <c r="H151" s="17"/>
      <c r="I151" s="18">
        <f t="shared" si="2"/>
        <v>70.28</v>
      </c>
      <c r="J151" s="18">
        <f t="shared" si="3"/>
        <v>460.75</v>
      </c>
      <c r="K151" s="4"/>
      <c r="L151" s="4"/>
      <c r="M151" s="4"/>
      <c r="N151" s="4"/>
      <c r="O151" s="4"/>
    </row>
    <row r="152" spans="1:19" s="19" customFormat="1" ht="38.25" customHeight="1" thickBot="1" x14ac:dyDescent="0.25">
      <c r="A152" s="356"/>
      <c r="B152" s="374"/>
      <c r="C152" s="25" t="s">
        <v>22</v>
      </c>
      <c r="D152" s="277" t="s">
        <v>16</v>
      </c>
      <c r="E152" s="15">
        <f>148.65*1.05</f>
        <v>156.08000000000001</v>
      </c>
      <c r="F152" s="16">
        <f t="shared" si="0"/>
        <v>31.22</v>
      </c>
      <c r="G152" s="16">
        <f t="shared" si="1"/>
        <v>187.3</v>
      </c>
      <c r="H152" s="17"/>
      <c r="I152" s="18">
        <f t="shared" si="2"/>
        <v>28.09</v>
      </c>
      <c r="J152" s="18">
        <f t="shared" si="3"/>
        <v>184.17</v>
      </c>
      <c r="K152" s="4"/>
      <c r="L152" s="4"/>
      <c r="M152" s="4"/>
      <c r="N152" s="4"/>
      <c r="O152" s="4"/>
    </row>
    <row r="153" spans="1:19" s="19" customFormat="1" ht="39" customHeight="1" x14ac:dyDescent="0.2">
      <c r="A153" s="356" t="s">
        <v>43</v>
      </c>
      <c r="B153" s="374" t="s">
        <v>44</v>
      </c>
      <c r="C153" s="277" t="s">
        <v>13</v>
      </c>
      <c r="D153" s="14" t="s">
        <v>14</v>
      </c>
      <c r="E153" s="15">
        <f>1216.28*1.05</f>
        <v>1277.0899999999999</v>
      </c>
      <c r="F153" s="16">
        <f t="shared" si="0"/>
        <v>255.42</v>
      </c>
      <c r="G153" s="16">
        <f t="shared" si="1"/>
        <v>1532.51</v>
      </c>
      <c r="H153" s="9"/>
      <c r="I153" s="26">
        <f t="shared" si="2"/>
        <v>229.88</v>
      </c>
      <c r="J153" s="26">
        <f t="shared" si="3"/>
        <v>1506.97</v>
      </c>
      <c r="K153" s="27"/>
      <c r="L153" s="27"/>
      <c r="M153" s="27"/>
      <c r="N153" s="27"/>
      <c r="O153" s="27"/>
      <c r="P153" s="34"/>
      <c r="Q153" s="34"/>
      <c r="R153" s="34"/>
      <c r="S153" s="35"/>
    </row>
    <row r="154" spans="1:19" s="19" customFormat="1" ht="17.25" customHeight="1" x14ac:dyDescent="0.2">
      <c r="A154" s="356"/>
      <c r="B154" s="374"/>
      <c r="C154" s="277" t="s">
        <v>25</v>
      </c>
      <c r="D154" s="277" t="s">
        <v>16</v>
      </c>
      <c r="E154" s="15">
        <f>668.17*1.05</f>
        <v>701.58</v>
      </c>
      <c r="F154" s="16">
        <f t="shared" si="0"/>
        <v>140.32</v>
      </c>
      <c r="G154" s="16">
        <f t="shared" si="1"/>
        <v>841.9</v>
      </c>
      <c r="H154" s="17"/>
      <c r="I154" s="30">
        <f t="shared" si="2"/>
        <v>126.28</v>
      </c>
      <c r="J154" s="30">
        <f t="shared" si="3"/>
        <v>827.86</v>
      </c>
      <c r="K154" s="28"/>
      <c r="L154" s="28"/>
      <c r="M154" s="28"/>
      <c r="N154" s="28"/>
      <c r="O154" s="28"/>
      <c r="P154" s="29"/>
      <c r="Q154" s="29"/>
      <c r="R154" s="29"/>
      <c r="S154" s="36"/>
    </row>
    <row r="155" spans="1:19" s="19" customFormat="1" ht="36.75" customHeight="1" x14ac:dyDescent="0.2">
      <c r="A155" s="356"/>
      <c r="B155" s="374"/>
      <c r="C155" s="14" t="s">
        <v>18</v>
      </c>
      <c r="D155" s="277" t="s">
        <v>16</v>
      </c>
      <c r="E155" s="15">
        <f>214.47*1.05</f>
        <v>225.19</v>
      </c>
      <c r="F155" s="16">
        <f t="shared" si="0"/>
        <v>45.04</v>
      </c>
      <c r="G155" s="16">
        <f t="shared" si="1"/>
        <v>270.23</v>
      </c>
      <c r="H155" s="17"/>
      <c r="I155" s="30">
        <f t="shared" si="2"/>
        <v>40.53</v>
      </c>
      <c r="J155" s="30">
        <f t="shared" si="3"/>
        <v>265.72000000000003</v>
      </c>
      <c r="K155" s="28"/>
      <c r="L155" s="28"/>
      <c r="M155" s="28"/>
      <c r="N155" s="28"/>
      <c r="O155" s="28"/>
      <c r="P155" s="29"/>
      <c r="Q155" s="29"/>
      <c r="R155" s="29"/>
      <c r="S155" s="36"/>
    </row>
    <row r="156" spans="1:19" s="19" customFormat="1" ht="51" customHeight="1" x14ac:dyDescent="0.2">
      <c r="A156" s="356"/>
      <c r="B156" s="374"/>
      <c r="C156" s="14" t="s">
        <v>19</v>
      </c>
      <c r="D156" s="277" t="s">
        <v>16</v>
      </c>
      <c r="E156" s="15">
        <f>942.4*1.05</f>
        <v>989.52</v>
      </c>
      <c r="F156" s="16">
        <f t="shared" si="0"/>
        <v>197.9</v>
      </c>
      <c r="G156" s="16">
        <f t="shared" si="1"/>
        <v>1187.42</v>
      </c>
      <c r="H156" s="17"/>
      <c r="I156" s="30">
        <f t="shared" si="2"/>
        <v>178.11</v>
      </c>
      <c r="J156" s="30">
        <f t="shared" si="3"/>
        <v>1167.6300000000001</v>
      </c>
      <c r="K156" s="28"/>
      <c r="L156" s="28"/>
      <c r="M156" s="28"/>
      <c r="N156" s="28"/>
      <c r="O156" s="28"/>
      <c r="P156" s="29"/>
      <c r="Q156" s="29"/>
      <c r="R156" s="29"/>
      <c r="S156" s="36"/>
    </row>
    <row r="157" spans="1:19" s="19" customFormat="1" ht="42.75" customHeight="1" thickBot="1" x14ac:dyDescent="0.25">
      <c r="A157" s="356"/>
      <c r="B157" s="374"/>
      <c r="C157" s="25" t="s">
        <v>22</v>
      </c>
      <c r="D157" s="277" t="s">
        <v>16</v>
      </c>
      <c r="E157" s="15">
        <f>148.65*1.05</f>
        <v>156.08000000000001</v>
      </c>
      <c r="F157" s="16">
        <f t="shared" si="0"/>
        <v>31.22</v>
      </c>
      <c r="G157" s="16">
        <f t="shared" si="1"/>
        <v>187.3</v>
      </c>
      <c r="H157" s="31"/>
      <c r="I157" s="32">
        <f t="shared" si="2"/>
        <v>28.09</v>
      </c>
      <c r="J157" s="32">
        <f t="shared" si="3"/>
        <v>184.17</v>
      </c>
      <c r="K157" s="33"/>
      <c r="L157" s="33"/>
      <c r="M157" s="33"/>
      <c r="N157" s="33"/>
      <c r="O157" s="33"/>
      <c r="P157" s="37"/>
      <c r="Q157" s="37"/>
      <c r="R157" s="37"/>
      <c r="S157" s="38"/>
    </row>
    <row r="158" spans="1:19" s="19" customFormat="1" ht="39" customHeight="1" x14ac:dyDescent="0.2">
      <c r="A158" s="356" t="s">
        <v>45</v>
      </c>
      <c r="B158" s="374" t="s">
        <v>46</v>
      </c>
      <c r="C158" s="277" t="s">
        <v>13</v>
      </c>
      <c r="D158" s="14" t="s">
        <v>14</v>
      </c>
      <c r="E158" s="15">
        <f>653.63*1.05</f>
        <v>686.31</v>
      </c>
      <c r="F158" s="16">
        <f t="shared" si="0"/>
        <v>137.26</v>
      </c>
      <c r="G158" s="16">
        <f t="shared" si="1"/>
        <v>823.57</v>
      </c>
      <c r="H158" s="17"/>
      <c r="I158" s="18">
        <f t="shared" si="2"/>
        <v>123.54</v>
      </c>
      <c r="J158" s="18">
        <f t="shared" si="3"/>
        <v>809.85</v>
      </c>
      <c r="K158" s="4"/>
      <c r="L158" s="4"/>
      <c r="M158" s="4"/>
      <c r="N158" s="4"/>
      <c r="O158" s="4"/>
    </row>
    <row r="159" spans="1:19" s="19" customFormat="1" ht="15" customHeight="1" x14ac:dyDescent="0.2">
      <c r="A159" s="356"/>
      <c r="B159" s="374"/>
      <c r="C159" s="277" t="s">
        <v>25</v>
      </c>
      <c r="D159" s="277" t="s">
        <v>16</v>
      </c>
      <c r="E159" s="15">
        <f>541.66*1.05</f>
        <v>568.74</v>
      </c>
      <c r="F159" s="16">
        <f t="shared" si="0"/>
        <v>113.75</v>
      </c>
      <c r="G159" s="16">
        <f t="shared" si="1"/>
        <v>682.49</v>
      </c>
      <c r="H159" s="17"/>
      <c r="I159" s="18">
        <f t="shared" si="2"/>
        <v>102.37</v>
      </c>
      <c r="J159" s="18">
        <f t="shared" si="3"/>
        <v>671.11</v>
      </c>
      <c r="K159" s="4"/>
      <c r="L159" s="4"/>
      <c r="M159" s="4"/>
      <c r="N159" s="4"/>
      <c r="O159" s="4"/>
    </row>
    <row r="160" spans="1:19" s="19" customFormat="1" ht="36.75" customHeight="1" x14ac:dyDescent="0.2">
      <c r="A160" s="356"/>
      <c r="B160" s="374"/>
      <c r="C160" s="14" t="s">
        <v>18</v>
      </c>
      <c r="D160" s="277" t="s">
        <v>16</v>
      </c>
      <c r="E160" s="15">
        <f>214.47*1.05</f>
        <v>225.19</v>
      </c>
      <c r="F160" s="16">
        <f t="shared" si="0"/>
        <v>45.04</v>
      </c>
      <c r="G160" s="16">
        <f t="shared" si="1"/>
        <v>270.23</v>
      </c>
      <c r="H160" s="17"/>
      <c r="I160" s="18">
        <f t="shared" si="2"/>
        <v>40.53</v>
      </c>
      <c r="J160" s="18">
        <f t="shared" si="3"/>
        <v>265.72000000000003</v>
      </c>
      <c r="K160" s="4"/>
      <c r="L160" s="4"/>
      <c r="M160" s="4"/>
      <c r="N160" s="4"/>
      <c r="O160" s="4"/>
    </row>
    <row r="161" spans="1:15" s="19" customFormat="1" ht="48.75" customHeight="1" x14ac:dyDescent="0.2">
      <c r="A161" s="356"/>
      <c r="B161" s="374"/>
      <c r="C161" s="14" t="s">
        <v>19</v>
      </c>
      <c r="D161" s="277" t="s">
        <v>16</v>
      </c>
      <c r="E161" s="15">
        <f>446.26*1.05</f>
        <v>468.57</v>
      </c>
      <c r="F161" s="16">
        <f t="shared" ref="F161:F218" si="4">E161*20%</f>
        <v>93.71</v>
      </c>
      <c r="G161" s="16">
        <f t="shared" ref="G161:G216" si="5">E161+F161</f>
        <v>562.28</v>
      </c>
      <c r="H161" s="17"/>
      <c r="I161" s="18">
        <f t="shared" ref="I161:I184" si="6">E161*18%</f>
        <v>84.34</v>
      </c>
      <c r="J161" s="18">
        <f t="shared" ref="J161:J184" si="7">E161*1.18</f>
        <v>552.91</v>
      </c>
      <c r="K161" s="4"/>
      <c r="L161" s="4"/>
      <c r="M161" s="4"/>
      <c r="N161" s="4"/>
      <c r="O161" s="4"/>
    </row>
    <row r="162" spans="1:15" s="19" customFormat="1" ht="38.25" customHeight="1" x14ac:dyDescent="0.2">
      <c r="A162" s="356"/>
      <c r="B162" s="374"/>
      <c r="C162" s="25" t="s">
        <v>22</v>
      </c>
      <c r="D162" s="277" t="s">
        <v>16</v>
      </c>
      <c r="E162" s="15">
        <f>148.65*1.05</f>
        <v>156.08000000000001</v>
      </c>
      <c r="F162" s="16">
        <f t="shared" si="4"/>
        <v>31.22</v>
      </c>
      <c r="G162" s="16">
        <f t="shared" si="5"/>
        <v>187.3</v>
      </c>
      <c r="H162" s="17"/>
      <c r="I162" s="18">
        <f t="shared" si="6"/>
        <v>28.09</v>
      </c>
      <c r="J162" s="18">
        <f t="shared" si="7"/>
        <v>184.17</v>
      </c>
      <c r="K162" s="4"/>
      <c r="L162" s="4"/>
      <c r="M162" s="4"/>
      <c r="N162" s="4"/>
      <c r="O162" s="4"/>
    </row>
    <row r="163" spans="1:15" s="19" customFormat="1" ht="39" customHeight="1" x14ac:dyDescent="0.2">
      <c r="A163" s="356" t="s">
        <v>47</v>
      </c>
      <c r="B163" s="374" t="s">
        <v>48</v>
      </c>
      <c r="C163" s="277" t="s">
        <v>13</v>
      </c>
      <c r="D163" s="14" t="s">
        <v>14</v>
      </c>
      <c r="E163" s="15">
        <f>737.92*1.05</f>
        <v>774.82</v>
      </c>
      <c r="F163" s="16">
        <f t="shared" si="4"/>
        <v>154.96</v>
      </c>
      <c r="G163" s="16">
        <f t="shared" si="5"/>
        <v>929.78</v>
      </c>
      <c r="H163" s="17"/>
      <c r="I163" s="18">
        <f t="shared" si="6"/>
        <v>139.47</v>
      </c>
      <c r="J163" s="18">
        <f t="shared" si="7"/>
        <v>914.29</v>
      </c>
      <c r="K163" s="4"/>
      <c r="L163" s="4"/>
      <c r="M163" s="4"/>
      <c r="N163" s="4"/>
      <c r="O163" s="4"/>
    </row>
    <row r="164" spans="1:15" s="19" customFormat="1" ht="17.25" customHeight="1" x14ac:dyDescent="0.2">
      <c r="A164" s="356"/>
      <c r="B164" s="374"/>
      <c r="C164" s="277" t="s">
        <v>25</v>
      </c>
      <c r="D164" s="277" t="s">
        <v>16</v>
      </c>
      <c r="E164" s="15">
        <f>595.83*1.05</f>
        <v>625.62</v>
      </c>
      <c r="F164" s="16">
        <f t="shared" si="4"/>
        <v>125.12</v>
      </c>
      <c r="G164" s="16">
        <f t="shared" si="5"/>
        <v>750.74</v>
      </c>
      <c r="H164" s="17"/>
      <c r="I164" s="18">
        <f t="shared" si="6"/>
        <v>112.61</v>
      </c>
      <c r="J164" s="18">
        <f t="shared" si="7"/>
        <v>738.23</v>
      </c>
      <c r="K164" s="4"/>
      <c r="L164" s="4"/>
      <c r="M164" s="4"/>
      <c r="N164" s="4"/>
      <c r="O164" s="4"/>
    </row>
    <row r="165" spans="1:15" s="19" customFormat="1" ht="39" customHeight="1" x14ac:dyDescent="0.2">
      <c r="A165" s="356"/>
      <c r="B165" s="374"/>
      <c r="C165" s="14" t="s">
        <v>18</v>
      </c>
      <c r="D165" s="277" t="s">
        <v>16</v>
      </c>
      <c r="E165" s="15">
        <f>214.47*1.05</f>
        <v>225.19</v>
      </c>
      <c r="F165" s="16">
        <f t="shared" si="4"/>
        <v>45.04</v>
      </c>
      <c r="G165" s="16">
        <f t="shared" si="5"/>
        <v>270.23</v>
      </c>
      <c r="H165" s="17"/>
      <c r="I165" s="18">
        <f t="shared" si="6"/>
        <v>40.53</v>
      </c>
      <c r="J165" s="18">
        <f t="shared" si="7"/>
        <v>265.72000000000003</v>
      </c>
      <c r="K165" s="4"/>
      <c r="L165" s="4"/>
      <c r="M165" s="4"/>
      <c r="N165" s="4"/>
      <c r="O165" s="4"/>
    </row>
    <row r="166" spans="1:15" s="19" customFormat="1" ht="55.5" customHeight="1" x14ac:dyDescent="0.2">
      <c r="A166" s="356"/>
      <c r="B166" s="374"/>
      <c r="C166" s="14" t="s">
        <v>19</v>
      </c>
      <c r="D166" s="277" t="s">
        <v>16</v>
      </c>
      <c r="E166" s="15">
        <f>449.98*1.05</f>
        <v>472.48</v>
      </c>
      <c r="F166" s="16">
        <f t="shared" si="4"/>
        <v>94.5</v>
      </c>
      <c r="G166" s="16">
        <f t="shared" si="5"/>
        <v>566.98</v>
      </c>
      <c r="H166" s="17"/>
      <c r="I166" s="18">
        <f t="shared" si="6"/>
        <v>85.05</v>
      </c>
      <c r="J166" s="18">
        <f t="shared" si="7"/>
        <v>557.53</v>
      </c>
      <c r="K166" s="4"/>
      <c r="L166" s="4"/>
      <c r="M166" s="4"/>
      <c r="N166" s="4"/>
      <c r="O166" s="4"/>
    </row>
    <row r="167" spans="1:15" s="19" customFormat="1" ht="39" customHeight="1" x14ac:dyDescent="0.2">
      <c r="A167" s="356" t="s">
        <v>49</v>
      </c>
      <c r="B167" s="374" t="s">
        <v>50</v>
      </c>
      <c r="C167" s="277" t="s">
        <v>13</v>
      </c>
      <c r="D167" s="14" t="s">
        <v>14</v>
      </c>
      <c r="E167" s="15">
        <f>1386.56*1.05</f>
        <v>1455.89</v>
      </c>
      <c r="F167" s="16">
        <f t="shared" si="4"/>
        <v>291.18</v>
      </c>
      <c r="G167" s="16">
        <f t="shared" si="5"/>
        <v>1747.07</v>
      </c>
      <c r="H167" s="17"/>
      <c r="I167" s="18">
        <f t="shared" si="6"/>
        <v>262.06</v>
      </c>
      <c r="J167" s="18">
        <f t="shared" si="7"/>
        <v>1717.95</v>
      </c>
      <c r="K167" s="4"/>
      <c r="L167" s="4"/>
      <c r="M167" s="4"/>
      <c r="N167" s="4"/>
      <c r="O167" s="4"/>
    </row>
    <row r="168" spans="1:15" s="19" customFormat="1" ht="17.25" customHeight="1" x14ac:dyDescent="0.2">
      <c r="A168" s="356"/>
      <c r="B168" s="374"/>
      <c r="C168" s="277" t="s">
        <v>25</v>
      </c>
      <c r="D168" s="277" t="s">
        <v>16</v>
      </c>
      <c r="E168" s="15">
        <f>762.75*1.05</f>
        <v>800.89</v>
      </c>
      <c r="F168" s="16">
        <f t="shared" si="4"/>
        <v>160.18</v>
      </c>
      <c r="G168" s="16">
        <f t="shared" si="5"/>
        <v>961.07</v>
      </c>
      <c r="H168" s="17"/>
      <c r="I168" s="18">
        <f t="shared" si="6"/>
        <v>144.16</v>
      </c>
      <c r="J168" s="18">
        <f t="shared" si="7"/>
        <v>945.05</v>
      </c>
      <c r="K168" s="4"/>
      <c r="L168" s="4"/>
      <c r="M168" s="4"/>
      <c r="N168" s="4"/>
      <c r="O168" s="4"/>
    </row>
    <row r="169" spans="1:15" s="19" customFormat="1" ht="37.5" customHeight="1" x14ac:dyDescent="0.2">
      <c r="A169" s="356"/>
      <c r="B169" s="374"/>
      <c r="C169" s="14" t="s">
        <v>18</v>
      </c>
      <c r="D169" s="277" t="s">
        <v>16</v>
      </c>
      <c r="E169" s="15">
        <f>214.47*1.05</f>
        <v>225.19</v>
      </c>
      <c r="F169" s="16">
        <f t="shared" si="4"/>
        <v>45.04</v>
      </c>
      <c r="G169" s="16">
        <f t="shared" si="5"/>
        <v>270.23</v>
      </c>
      <c r="H169" s="17"/>
      <c r="I169" s="18">
        <f t="shared" si="6"/>
        <v>40.53</v>
      </c>
      <c r="J169" s="18">
        <f t="shared" si="7"/>
        <v>265.72000000000003</v>
      </c>
      <c r="K169" s="4"/>
      <c r="L169" s="4"/>
      <c r="M169" s="4"/>
      <c r="N169" s="4"/>
      <c r="O169" s="4"/>
    </row>
    <row r="170" spans="1:15" s="19" customFormat="1" ht="49.5" customHeight="1" x14ac:dyDescent="0.2">
      <c r="A170" s="356"/>
      <c r="B170" s="374"/>
      <c r="C170" s="14" t="s">
        <v>19</v>
      </c>
      <c r="D170" s="277" t="s">
        <v>16</v>
      </c>
      <c r="E170" s="15">
        <f>895.28*1.05</f>
        <v>940.04</v>
      </c>
      <c r="F170" s="16">
        <f t="shared" si="4"/>
        <v>188.01</v>
      </c>
      <c r="G170" s="16">
        <f t="shared" si="5"/>
        <v>1128.05</v>
      </c>
      <c r="H170" s="17"/>
      <c r="I170" s="18">
        <f t="shared" si="6"/>
        <v>169.21</v>
      </c>
      <c r="J170" s="18">
        <f t="shared" si="7"/>
        <v>1109.25</v>
      </c>
      <c r="K170" s="4"/>
      <c r="L170" s="4"/>
      <c r="M170" s="4"/>
      <c r="N170" s="4"/>
      <c r="O170" s="4"/>
    </row>
    <row r="171" spans="1:15" s="19" customFormat="1" ht="39" customHeight="1" x14ac:dyDescent="0.2">
      <c r="A171" s="356"/>
      <c r="B171" s="374"/>
      <c r="C171" s="25" t="s">
        <v>22</v>
      </c>
      <c r="D171" s="277" t="s">
        <v>16</v>
      </c>
      <c r="E171" s="15">
        <f>148.65*1.05</f>
        <v>156.08000000000001</v>
      </c>
      <c r="F171" s="16">
        <f t="shared" si="4"/>
        <v>31.22</v>
      </c>
      <c r="G171" s="16">
        <f t="shared" si="5"/>
        <v>187.3</v>
      </c>
      <c r="H171" s="17"/>
      <c r="I171" s="18">
        <f t="shared" si="6"/>
        <v>28.09</v>
      </c>
      <c r="J171" s="18">
        <f t="shared" si="7"/>
        <v>184.17</v>
      </c>
      <c r="K171" s="4"/>
      <c r="L171" s="4"/>
      <c r="M171" s="4"/>
      <c r="N171" s="4"/>
      <c r="O171" s="4"/>
    </row>
    <row r="172" spans="1:15" s="19" customFormat="1" ht="41.25" customHeight="1" x14ac:dyDescent="0.2">
      <c r="A172" s="356" t="s">
        <v>51</v>
      </c>
      <c r="B172" s="376" t="s">
        <v>52</v>
      </c>
      <c r="C172" s="277" t="s">
        <v>13</v>
      </c>
      <c r="D172" s="14" t="s">
        <v>14</v>
      </c>
      <c r="E172" s="15">
        <f>1706.19*1.05</f>
        <v>1791.5</v>
      </c>
      <c r="F172" s="16">
        <f t="shared" si="4"/>
        <v>358.3</v>
      </c>
      <c r="G172" s="16">
        <f t="shared" si="5"/>
        <v>2149.8000000000002</v>
      </c>
      <c r="H172" s="17"/>
      <c r="I172" s="18">
        <f t="shared" si="6"/>
        <v>322.47000000000003</v>
      </c>
      <c r="J172" s="18">
        <f t="shared" si="7"/>
        <v>2113.9699999999998</v>
      </c>
      <c r="K172" s="4"/>
      <c r="L172" s="4"/>
      <c r="M172" s="4"/>
      <c r="N172" s="4"/>
      <c r="O172" s="4"/>
    </row>
    <row r="173" spans="1:15" s="40" customFormat="1" ht="18" customHeight="1" x14ac:dyDescent="0.2">
      <c r="A173" s="356"/>
      <c r="B173" s="376"/>
      <c r="C173" s="277" t="s">
        <v>25</v>
      </c>
      <c r="D173" s="277" t="s">
        <v>16</v>
      </c>
      <c r="E173" s="15">
        <f>828.03*1.05</f>
        <v>869.43</v>
      </c>
      <c r="F173" s="16">
        <f t="shared" si="4"/>
        <v>173.89</v>
      </c>
      <c r="G173" s="16">
        <f t="shared" si="5"/>
        <v>1043.32</v>
      </c>
      <c r="H173" s="39"/>
      <c r="I173" s="18">
        <f t="shared" si="6"/>
        <v>156.5</v>
      </c>
      <c r="J173" s="18">
        <f t="shared" si="7"/>
        <v>1025.93</v>
      </c>
      <c r="K173" s="10"/>
      <c r="L173" s="10"/>
      <c r="M173" s="10"/>
      <c r="N173" s="10"/>
      <c r="O173" s="10"/>
    </row>
    <row r="174" spans="1:15" s="19" customFormat="1" ht="40.5" customHeight="1" x14ac:dyDescent="0.2">
      <c r="A174" s="356"/>
      <c r="B174" s="376"/>
      <c r="C174" s="14" t="s">
        <v>18</v>
      </c>
      <c r="D174" s="277" t="s">
        <v>16</v>
      </c>
      <c r="E174" s="15">
        <f>214.47*1.05</f>
        <v>225.19</v>
      </c>
      <c r="F174" s="16">
        <f t="shared" si="4"/>
        <v>45.04</v>
      </c>
      <c r="G174" s="16">
        <f t="shared" si="5"/>
        <v>270.23</v>
      </c>
      <c r="H174" s="17"/>
      <c r="I174" s="18">
        <f t="shared" si="6"/>
        <v>40.53</v>
      </c>
      <c r="J174" s="18">
        <f t="shared" si="7"/>
        <v>265.72000000000003</v>
      </c>
      <c r="K174" s="4"/>
      <c r="L174" s="4"/>
      <c r="M174" s="4"/>
      <c r="N174" s="4"/>
      <c r="O174" s="4"/>
    </row>
    <row r="175" spans="1:15" s="19" customFormat="1" ht="49.5" customHeight="1" x14ac:dyDescent="0.2">
      <c r="A175" s="356"/>
      <c r="B175" s="376"/>
      <c r="C175" s="14" t="s">
        <v>19</v>
      </c>
      <c r="D175" s="277" t="s">
        <v>16</v>
      </c>
      <c r="E175" s="15">
        <f>1017.34*1.05</f>
        <v>1068.21</v>
      </c>
      <c r="F175" s="16">
        <f t="shared" si="4"/>
        <v>213.64</v>
      </c>
      <c r="G175" s="16">
        <f t="shared" si="5"/>
        <v>1281.8499999999999</v>
      </c>
      <c r="H175" s="17"/>
      <c r="I175" s="18">
        <f t="shared" si="6"/>
        <v>192.28</v>
      </c>
      <c r="J175" s="18">
        <f t="shared" si="7"/>
        <v>1260.49</v>
      </c>
      <c r="K175" s="4"/>
      <c r="L175" s="4"/>
      <c r="M175" s="4"/>
      <c r="N175" s="4"/>
      <c r="O175" s="4"/>
    </row>
    <row r="176" spans="1:15" s="19" customFormat="1" ht="41.25" customHeight="1" x14ac:dyDescent="0.2">
      <c r="A176" s="356"/>
      <c r="B176" s="376"/>
      <c r="C176" s="25" t="s">
        <v>22</v>
      </c>
      <c r="D176" s="277" t="s">
        <v>16</v>
      </c>
      <c r="E176" s="15">
        <f>148.65*1.05</f>
        <v>156.08000000000001</v>
      </c>
      <c r="F176" s="16">
        <f t="shared" si="4"/>
        <v>31.22</v>
      </c>
      <c r="G176" s="16">
        <f t="shared" si="5"/>
        <v>187.3</v>
      </c>
      <c r="H176" s="17"/>
      <c r="I176" s="18">
        <f t="shared" si="6"/>
        <v>28.09</v>
      </c>
      <c r="J176" s="18">
        <f t="shared" si="7"/>
        <v>184.17</v>
      </c>
      <c r="K176" s="4"/>
      <c r="L176" s="4"/>
      <c r="M176" s="4"/>
      <c r="N176" s="4"/>
      <c r="O176" s="4"/>
    </row>
    <row r="177" spans="1:61" s="19" customFormat="1" ht="40.5" customHeight="1" x14ac:dyDescent="0.2">
      <c r="A177" s="356" t="s">
        <v>53</v>
      </c>
      <c r="B177" s="377" t="s">
        <v>54</v>
      </c>
      <c r="C177" s="277" t="s">
        <v>13</v>
      </c>
      <c r="D177" s="14" t="s">
        <v>14</v>
      </c>
      <c r="E177" s="15">
        <f>737.92*1.05</f>
        <v>774.82</v>
      </c>
      <c r="F177" s="16">
        <f t="shared" si="4"/>
        <v>154.96</v>
      </c>
      <c r="G177" s="16">
        <f t="shared" si="5"/>
        <v>929.78</v>
      </c>
      <c r="H177" s="17"/>
      <c r="I177" s="18">
        <f t="shared" si="6"/>
        <v>139.47</v>
      </c>
      <c r="J177" s="18">
        <f t="shared" si="7"/>
        <v>914.29</v>
      </c>
      <c r="K177" s="4"/>
      <c r="L177" s="4"/>
      <c r="M177" s="4"/>
      <c r="N177" s="4"/>
      <c r="O177" s="4"/>
    </row>
    <row r="178" spans="1:61" s="19" customFormat="1" ht="15.75" customHeight="1" x14ac:dyDescent="0.2">
      <c r="A178" s="356"/>
      <c r="B178" s="378"/>
      <c r="C178" s="277" t="s">
        <v>25</v>
      </c>
      <c r="D178" s="277" t="s">
        <v>16</v>
      </c>
      <c r="E178" s="15">
        <f>595.83*1.05</f>
        <v>625.62</v>
      </c>
      <c r="F178" s="16">
        <f t="shared" si="4"/>
        <v>125.12</v>
      </c>
      <c r="G178" s="16">
        <f t="shared" si="5"/>
        <v>750.74</v>
      </c>
      <c r="H178" s="17"/>
      <c r="I178" s="18">
        <f t="shared" si="6"/>
        <v>112.61</v>
      </c>
      <c r="J178" s="18">
        <f t="shared" si="7"/>
        <v>738.23</v>
      </c>
      <c r="K178" s="4"/>
      <c r="L178" s="4"/>
      <c r="M178" s="4"/>
      <c r="N178" s="4"/>
      <c r="O178" s="4"/>
    </row>
    <row r="179" spans="1:61" s="19" customFormat="1" ht="38.25" customHeight="1" x14ac:dyDescent="0.2">
      <c r="A179" s="356"/>
      <c r="B179" s="378"/>
      <c r="C179" s="14" t="s">
        <v>18</v>
      </c>
      <c r="D179" s="277" t="s">
        <v>16</v>
      </c>
      <c r="E179" s="15">
        <f>214.47*1.05</f>
        <v>225.19</v>
      </c>
      <c r="F179" s="16">
        <f t="shared" si="4"/>
        <v>45.04</v>
      </c>
      <c r="G179" s="16">
        <f t="shared" si="5"/>
        <v>270.23</v>
      </c>
      <c r="H179" s="17"/>
      <c r="I179" s="18">
        <f t="shared" si="6"/>
        <v>40.53</v>
      </c>
      <c r="J179" s="18">
        <f t="shared" si="7"/>
        <v>265.72000000000003</v>
      </c>
      <c r="K179" s="4"/>
      <c r="L179" s="4"/>
      <c r="M179" s="4"/>
      <c r="N179" s="4"/>
      <c r="O179" s="4"/>
    </row>
    <row r="180" spans="1:61" s="19" customFormat="1" ht="53.25" customHeight="1" x14ac:dyDescent="0.2">
      <c r="A180" s="356"/>
      <c r="B180" s="378"/>
      <c r="C180" s="14" t="s">
        <v>19</v>
      </c>
      <c r="D180" s="277" t="s">
        <v>16</v>
      </c>
      <c r="E180" s="15">
        <f>449.98*1.05</f>
        <v>472.48</v>
      </c>
      <c r="F180" s="16">
        <f t="shared" si="4"/>
        <v>94.5</v>
      </c>
      <c r="G180" s="16">
        <f t="shared" si="5"/>
        <v>566.98</v>
      </c>
      <c r="H180" s="17"/>
      <c r="I180" s="18">
        <f t="shared" si="6"/>
        <v>85.05</v>
      </c>
      <c r="J180" s="18">
        <f t="shared" si="7"/>
        <v>557.53</v>
      </c>
      <c r="K180" s="4"/>
      <c r="L180" s="4"/>
      <c r="M180" s="4"/>
      <c r="N180" s="4"/>
      <c r="O180" s="4"/>
    </row>
    <row r="181" spans="1:61" s="19" customFormat="1" ht="42" customHeight="1" x14ac:dyDescent="0.2">
      <c r="A181" s="356"/>
      <c r="B181" s="378"/>
      <c r="C181" s="25" t="s">
        <v>22</v>
      </c>
      <c r="D181" s="277" t="s">
        <v>16</v>
      </c>
      <c r="E181" s="15">
        <f>148.65*1.05</f>
        <v>156.08000000000001</v>
      </c>
      <c r="F181" s="16">
        <f t="shared" si="4"/>
        <v>31.22</v>
      </c>
      <c r="G181" s="16">
        <f t="shared" si="5"/>
        <v>187.3</v>
      </c>
      <c r="H181" s="17"/>
      <c r="I181" s="18">
        <f t="shared" si="6"/>
        <v>28.09</v>
      </c>
      <c r="J181" s="18">
        <f t="shared" si="7"/>
        <v>184.17</v>
      </c>
      <c r="K181" s="4"/>
      <c r="L181" s="4"/>
      <c r="M181" s="4"/>
      <c r="N181" s="4"/>
      <c r="O181" s="4"/>
    </row>
    <row r="182" spans="1:61" s="19" customFormat="1" ht="39" customHeight="1" x14ac:dyDescent="0.2">
      <c r="A182" s="356" t="s">
        <v>55</v>
      </c>
      <c r="B182" s="374" t="s">
        <v>56</v>
      </c>
      <c r="C182" s="277" t="s">
        <v>13</v>
      </c>
      <c r="D182" s="14" t="s">
        <v>14</v>
      </c>
      <c r="E182" s="15">
        <f>550.07*1.05</f>
        <v>577.57000000000005</v>
      </c>
      <c r="F182" s="16">
        <f t="shared" si="4"/>
        <v>115.51</v>
      </c>
      <c r="G182" s="16">
        <f t="shared" si="5"/>
        <v>693.08</v>
      </c>
      <c r="H182" s="17"/>
      <c r="I182" s="18">
        <f t="shared" si="6"/>
        <v>103.96</v>
      </c>
      <c r="J182" s="18">
        <f t="shared" si="7"/>
        <v>681.53</v>
      </c>
      <c r="K182" s="4"/>
      <c r="L182" s="4"/>
      <c r="M182" s="4"/>
      <c r="N182" s="4"/>
      <c r="O182" s="4"/>
    </row>
    <row r="183" spans="1:61" s="19" customFormat="1" ht="16.5" customHeight="1" x14ac:dyDescent="0.2">
      <c r="A183" s="356"/>
      <c r="B183" s="374"/>
      <c r="C183" s="277" t="s">
        <v>25</v>
      </c>
      <c r="D183" s="277" t="s">
        <v>16</v>
      </c>
      <c r="E183" s="15">
        <f>426.05*1.05</f>
        <v>447.35</v>
      </c>
      <c r="F183" s="16">
        <f t="shared" si="4"/>
        <v>89.47</v>
      </c>
      <c r="G183" s="16">
        <f t="shared" si="5"/>
        <v>536.82000000000005</v>
      </c>
      <c r="H183" s="17"/>
      <c r="I183" s="18">
        <f t="shared" si="6"/>
        <v>80.52</v>
      </c>
      <c r="J183" s="18">
        <f t="shared" si="7"/>
        <v>527.87</v>
      </c>
      <c r="K183" s="4"/>
      <c r="L183" s="4"/>
      <c r="M183" s="4"/>
      <c r="N183" s="4"/>
      <c r="O183" s="4"/>
    </row>
    <row r="184" spans="1:61" s="19" customFormat="1" ht="35.25" customHeight="1" x14ac:dyDescent="0.2">
      <c r="A184" s="356"/>
      <c r="B184" s="374"/>
      <c r="C184" s="14" t="s">
        <v>18</v>
      </c>
      <c r="D184" s="277" t="s">
        <v>16</v>
      </c>
      <c r="E184" s="15">
        <f>214.47*1.05</f>
        <v>225.19</v>
      </c>
      <c r="F184" s="16">
        <f t="shared" si="4"/>
        <v>45.04</v>
      </c>
      <c r="G184" s="16">
        <f t="shared" si="5"/>
        <v>270.23</v>
      </c>
      <c r="H184" s="17"/>
      <c r="I184" s="18">
        <f t="shared" si="6"/>
        <v>40.53</v>
      </c>
      <c r="J184" s="18">
        <f t="shared" si="7"/>
        <v>265.72000000000003</v>
      </c>
      <c r="K184" s="4"/>
      <c r="L184" s="4"/>
      <c r="M184" s="4"/>
      <c r="N184" s="4"/>
      <c r="O184" s="4"/>
    </row>
    <row r="185" spans="1:61" s="19" customFormat="1" ht="50.25" customHeight="1" x14ac:dyDescent="0.2">
      <c r="A185" s="356"/>
      <c r="B185" s="374"/>
      <c r="C185" s="14" t="s">
        <v>19</v>
      </c>
      <c r="D185" s="277" t="s">
        <v>16</v>
      </c>
      <c r="E185" s="15">
        <f>338.07*1.05</f>
        <v>354.97</v>
      </c>
      <c r="F185" s="16">
        <f t="shared" si="4"/>
        <v>70.989999999999995</v>
      </c>
      <c r="G185" s="16">
        <f t="shared" si="5"/>
        <v>425.96</v>
      </c>
      <c r="H185" s="41">
        <f>46.44</f>
        <v>46.44</v>
      </c>
      <c r="I185" s="42">
        <v>1.0549999999999999</v>
      </c>
      <c r="J185" s="18"/>
      <c r="K185" s="4"/>
      <c r="L185" s="4"/>
      <c r="M185" s="4"/>
      <c r="N185" s="4"/>
      <c r="O185" s="4"/>
    </row>
    <row r="186" spans="1:61" s="19" customFormat="1" ht="44.25" customHeight="1" x14ac:dyDescent="0.2">
      <c r="A186" s="356"/>
      <c r="B186" s="374"/>
      <c r="C186" s="25" t="s">
        <v>22</v>
      </c>
      <c r="D186" s="277" t="s">
        <v>16</v>
      </c>
      <c r="E186" s="15">
        <f>148.65*1.05</f>
        <v>156.08000000000001</v>
      </c>
      <c r="F186" s="16">
        <f t="shared" si="4"/>
        <v>31.22</v>
      </c>
      <c r="G186" s="16">
        <f t="shared" si="5"/>
        <v>187.3</v>
      </c>
      <c r="H186" s="41">
        <f>50.31</f>
        <v>50.31</v>
      </c>
      <c r="I186" s="42">
        <v>1.0549999999999999</v>
      </c>
      <c r="J186" s="18"/>
      <c r="K186" s="4"/>
      <c r="L186" s="4"/>
      <c r="M186" s="4"/>
      <c r="N186" s="4"/>
      <c r="O186" s="4"/>
    </row>
    <row r="187" spans="1:61" s="19" customFormat="1" ht="39" customHeight="1" x14ac:dyDescent="0.2">
      <c r="A187" s="356" t="s">
        <v>57</v>
      </c>
      <c r="B187" s="374" t="s">
        <v>58</v>
      </c>
      <c r="C187" s="277" t="s">
        <v>13</v>
      </c>
      <c r="D187" s="14" t="s">
        <v>14</v>
      </c>
      <c r="E187" s="15">
        <f>550.07*1.05</f>
        <v>577.57000000000005</v>
      </c>
      <c r="F187" s="16">
        <f t="shared" si="4"/>
        <v>115.51</v>
      </c>
      <c r="G187" s="16">
        <f t="shared" si="5"/>
        <v>693.08</v>
      </c>
      <c r="H187" s="41">
        <f>57.27</f>
        <v>57.27</v>
      </c>
      <c r="I187" s="42">
        <v>1.0549999999999999</v>
      </c>
      <c r="J187" s="18"/>
      <c r="K187" s="4"/>
      <c r="L187" s="4"/>
      <c r="M187" s="4"/>
      <c r="N187" s="4"/>
      <c r="O187" s="4"/>
    </row>
    <row r="188" spans="1:61" s="19" customFormat="1" ht="15.75" customHeight="1" x14ac:dyDescent="0.2">
      <c r="A188" s="356"/>
      <c r="B188" s="374"/>
      <c r="C188" s="277" t="s">
        <v>25</v>
      </c>
      <c r="D188" s="277" t="s">
        <v>16</v>
      </c>
      <c r="E188" s="15">
        <f>426.05*1.05</f>
        <v>447.35</v>
      </c>
      <c r="F188" s="16">
        <f t="shared" si="4"/>
        <v>89.47</v>
      </c>
      <c r="G188" s="16">
        <f t="shared" si="5"/>
        <v>536.82000000000005</v>
      </c>
      <c r="H188" s="41">
        <f>72.36</f>
        <v>72.36</v>
      </c>
      <c r="I188" s="42">
        <v>1.0549999999999999</v>
      </c>
      <c r="J188" s="18"/>
      <c r="K188" s="4"/>
      <c r="L188" s="4"/>
      <c r="M188" s="4"/>
      <c r="N188" s="4"/>
      <c r="O188" s="4"/>
    </row>
    <row r="189" spans="1:61" s="19" customFormat="1" ht="40.5" customHeight="1" x14ac:dyDescent="0.2">
      <c r="A189" s="356"/>
      <c r="B189" s="374"/>
      <c r="C189" s="14" t="s">
        <v>18</v>
      </c>
      <c r="D189" s="277" t="s">
        <v>16</v>
      </c>
      <c r="E189" s="15">
        <f>214.47*1.05</f>
        <v>225.19</v>
      </c>
      <c r="F189" s="16">
        <f t="shared" si="4"/>
        <v>45.04</v>
      </c>
      <c r="G189" s="16">
        <f t="shared" si="5"/>
        <v>270.23</v>
      </c>
      <c r="H189" s="41">
        <v>101.38</v>
      </c>
      <c r="I189" s="42">
        <v>1.0549999999999999</v>
      </c>
      <c r="J189" s="18"/>
      <c r="K189" s="4"/>
      <c r="L189" s="4"/>
      <c r="M189" s="4"/>
      <c r="N189" s="4"/>
      <c r="O189" s="4"/>
    </row>
    <row r="190" spans="1:61" s="19" customFormat="1" ht="48" customHeight="1" x14ac:dyDescent="0.2">
      <c r="A190" s="356"/>
      <c r="B190" s="374"/>
      <c r="C190" s="14" t="s">
        <v>19</v>
      </c>
      <c r="D190" s="277" t="s">
        <v>16</v>
      </c>
      <c r="E190" s="15">
        <f>338.07*1.05</f>
        <v>354.97</v>
      </c>
      <c r="F190" s="16">
        <f t="shared" si="4"/>
        <v>70.989999999999995</v>
      </c>
      <c r="G190" s="16">
        <f t="shared" si="5"/>
        <v>425.96</v>
      </c>
      <c r="H190" s="41">
        <v>105.25</v>
      </c>
      <c r="I190" s="42">
        <v>1.0549999999999999</v>
      </c>
      <c r="J190" s="18"/>
      <c r="K190" s="4"/>
      <c r="L190" s="4"/>
      <c r="M190" s="4"/>
      <c r="N190" s="4"/>
      <c r="O190" s="4"/>
    </row>
    <row r="191" spans="1:61" s="19" customFormat="1" ht="39.75" customHeight="1" x14ac:dyDescent="0.2">
      <c r="A191" s="356"/>
      <c r="B191" s="374"/>
      <c r="C191" s="25" t="s">
        <v>22</v>
      </c>
      <c r="D191" s="277" t="s">
        <v>16</v>
      </c>
      <c r="E191" s="15">
        <f>148.65*1.05</f>
        <v>156.08000000000001</v>
      </c>
      <c r="F191" s="16">
        <f t="shared" si="4"/>
        <v>31.22</v>
      </c>
      <c r="G191" s="16">
        <f t="shared" si="5"/>
        <v>187.3</v>
      </c>
      <c r="H191" s="41">
        <v>116.08</v>
      </c>
      <c r="I191" s="42">
        <v>1.0549999999999999</v>
      </c>
      <c r="J191" s="18"/>
      <c r="K191" s="4"/>
      <c r="L191" s="4"/>
      <c r="M191" s="4"/>
      <c r="N191" s="4"/>
      <c r="O191" s="4"/>
    </row>
    <row r="192" spans="1:61" s="19" customFormat="1" ht="39" customHeight="1" x14ac:dyDescent="0.2">
      <c r="A192" s="356" t="s">
        <v>59</v>
      </c>
      <c r="B192" s="374" t="s">
        <v>60</v>
      </c>
      <c r="C192" s="277" t="s">
        <v>13</v>
      </c>
      <c r="D192" s="14" t="s">
        <v>14</v>
      </c>
      <c r="E192" s="16">
        <f>519.93*1.05</f>
        <v>545.92999999999995</v>
      </c>
      <c r="F192" s="16">
        <f t="shared" si="4"/>
        <v>109.19</v>
      </c>
      <c r="G192" s="16">
        <f t="shared" si="5"/>
        <v>655.12</v>
      </c>
      <c r="H192" s="41">
        <v>126.92</v>
      </c>
      <c r="I192" s="42">
        <v>1.0549999999999999</v>
      </c>
      <c r="J192" s="18"/>
      <c r="K192" s="4"/>
      <c r="L192" s="4"/>
      <c r="M192" s="4"/>
      <c r="N192" s="4"/>
      <c r="O192" s="4"/>
      <c r="BH192" s="20">
        <f>497.54*1.045</f>
        <v>519.92999999999995</v>
      </c>
      <c r="BI192" s="20">
        <f>BH192-E192</f>
        <v>-26</v>
      </c>
    </row>
    <row r="193" spans="1:24" s="19" customFormat="1" ht="17.25" customHeight="1" x14ac:dyDescent="0.2">
      <c r="A193" s="356"/>
      <c r="B193" s="374"/>
      <c r="C193" s="277" t="s">
        <v>25</v>
      </c>
      <c r="D193" s="277" t="s">
        <v>16</v>
      </c>
      <c r="E193" s="16">
        <f>398.04*1.05</f>
        <v>417.94</v>
      </c>
      <c r="F193" s="16">
        <f t="shared" si="4"/>
        <v>83.59</v>
      </c>
      <c r="G193" s="16">
        <f t="shared" si="5"/>
        <v>501.53</v>
      </c>
      <c r="H193" s="41">
        <v>137.36000000000001</v>
      </c>
      <c r="I193" s="42">
        <v>1.0549999999999999</v>
      </c>
      <c r="J193" s="18"/>
      <c r="K193" s="4"/>
      <c r="L193" s="4"/>
      <c r="M193" s="4"/>
      <c r="N193" s="4"/>
      <c r="O193" s="4"/>
    </row>
    <row r="194" spans="1:24" s="19" customFormat="1" ht="40.5" customHeight="1" x14ac:dyDescent="0.2">
      <c r="A194" s="356"/>
      <c r="B194" s="374"/>
      <c r="C194" s="14" t="s">
        <v>18</v>
      </c>
      <c r="D194" s="277" t="s">
        <v>16</v>
      </c>
      <c r="E194" s="16">
        <f>214.47*1.05</f>
        <v>225.19</v>
      </c>
      <c r="F194" s="16">
        <f t="shared" si="4"/>
        <v>45.04</v>
      </c>
      <c r="G194" s="16">
        <f t="shared" si="5"/>
        <v>270.23</v>
      </c>
      <c r="H194" s="41">
        <v>145.1</v>
      </c>
      <c r="I194" s="42">
        <v>1.0549999999999999</v>
      </c>
      <c r="J194" s="18"/>
      <c r="K194" s="4"/>
      <c r="L194" s="4"/>
      <c r="M194" s="4"/>
      <c r="N194" s="4"/>
      <c r="O194" s="4"/>
    </row>
    <row r="195" spans="1:24" s="19" customFormat="1" ht="48.75" customHeight="1" x14ac:dyDescent="0.2">
      <c r="A195" s="356"/>
      <c r="B195" s="374"/>
      <c r="C195" s="14" t="s">
        <v>19</v>
      </c>
      <c r="D195" s="277" t="s">
        <v>16</v>
      </c>
      <c r="E195" s="16">
        <f>338.07*1.05</f>
        <v>354.97</v>
      </c>
      <c r="F195" s="16">
        <f t="shared" si="4"/>
        <v>70.989999999999995</v>
      </c>
      <c r="G195" s="16">
        <f>E195+F195</f>
        <v>425.96</v>
      </c>
      <c r="H195" s="41"/>
      <c r="I195" s="42"/>
      <c r="J195" s="18"/>
      <c r="K195" s="4"/>
      <c r="L195" s="4"/>
      <c r="M195" s="4"/>
      <c r="N195" s="4"/>
      <c r="O195" s="4"/>
    </row>
    <row r="196" spans="1:24" s="19" customFormat="1" ht="36.75" customHeight="1" x14ac:dyDescent="0.2">
      <c r="A196" s="356"/>
      <c r="B196" s="374"/>
      <c r="C196" s="14" t="s">
        <v>20</v>
      </c>
      <c r="D196" s="277" t="s">
        <v>16</v>
      </c>
      <c r="E196" s="16">
        <f>168.57*1.05</f>
        <v>177</v>
      </c>
      <c r="F196" s="16">
        <f t="shared" si="4"/>
        <v>35.4</v>
      </c>
      <c r="G196" s="16">
        <f t="shared" si="5"/>
        <v>212.4</v>
      </c>
      <c r="H196" s="41">
        <v>159.80000000000001</v>
      </c>
      <c r="I196" s="42">
        <v>1.0549999999999999</v>
      </c>
      <c r="J196" s="18"/>
      <c r="K196" s="4"/>
      <c r="L196" s="4"/>
      <c r="M196" s="4"/>
      <c r="N196" s="4"/>
      <c r="O196" s="4"/>
    </row>
    <row r="197" spans="1:24" s="19" customFormat="1" ht="44.25" customHeight="1" thickBot="1" x14ac:dyDescent="0.25">
      <c r="A197" s="356"/>
      <c r="B197" s="374"/>
      <c r="C197" s="25" t="s">
        <v>22</v>
      </c>
      <c r="D197" s="277" t="s">
        <v>16</v>
      </c>
      <c r="E197" s="16">
        <f>148.65*1.05</f>
        <v>156.08000000000001</v>
      </c>
      <c r="F197" s="16">
        <f t="shared" si="4"/>
        <v>31.22</v>
      </c>
      <c r="G197" s="16">
        <f t="shared" si="5"/>
        <v>187.3</v>
      </c>
      <c r="H197" s="41">
        <v>167.16</v>
      </c>
      <c r="I197" s="42">
        <v>1.0549999999999999</v>
      </c>
      <c r="J197" s="18"/>
      <c r="K197" s="4"/>
      <c r="L197" s="4"/>
      <c r="M197" s="4"/>
      <c r="N197" s="4"/>
      <c r="O197" s="4"/>
    </row>
    <row r="198" spans="1:24" s="19" customFormat="1" ht="39" customHeight="1" x14ac:dyDescent="0.2">
      <c r="A198" s="356" t="s">
        <v>61</v>
      </c>
      <c r="B198" s="374" t="s">
        <v>62</v>
      </c>
      <c r="C198" s="277" t="s">
        <v>13</v>
      </c>
      <c r="D198" s="14" t="s">
        <v>14</v>
      </c>
      <c r="E198" s="16">
        <f>1203.05*1.05</f>
        <v>1263.2</v>
      </c>
      <c r="F198" s="16">
        <f t="shared" si="4"/>
        <v>252.64</v>
      </c>
      <c r="G198" s="16">
        <f t="shared" si="5"/>
        <v>1515.84</v>
      </c>
      <c r="H198" s="43">
        <v>41.22</v>
      </c>
      <c r="I198" s="42">
        <v>1.0549999999999999</v>
      </c>
      <c r="J198" s="18"/>
      <c r="K198" s="4"/>
      <c r="L198" s="4"/>
      <c r="M198" s="4"/>
      <c r="N198" s="4"/>
      <c r="O198" s="4"/>
    </row>
    <row r="199" spans="1:24" s="19" customFormat="1" ht="16.5" customHeight="1" x14ac:dyDescent="0.2">
      <c r="A199" s="356"/>
      <c r="B199" s="374"/>
      <c r="C199" s="277" t="s">
        <v>25</v>
      </c>
      <c r="D199" s="277" t="s">
        <v>16</v>
      </c>
      <c r="E199" s="15">
        <f>676.14*1.05</f>
        <v>709.95</v>
      </c>
      <c r="F199" s="16">
        <f t="shared" si="4"/>
        <v>141.99</v>
      </c>
      <c r="G199" s="16">
        <f t="shared" si="5"/>
        <v>851.94</v>
      </c>
      <c r="H199" s="41"/>
      <c r="I199" s="42"/>
      <c r="J199" s="18"/>
      <c r="K199" s="4"/>
      <c r="L199" s="4"/>
      <c r="M199" s="4"/>
      <c r="N199" s="4"/>
      <c r="O199" s="4"/>
    </row>
    <row r="200" spans="1:24" s="19" customFormat="1" ht="36.75" customHeight="1" x14ac:dyDescent="0.2">
      <c r="A200" s="356"/>
      <c r="B200" s="374"/>
      <c r="C200" s="14" t="s">
        <v>18</v>
      </c>
      <c r="D200" s="277" t="s">
        <v>16</v>
      </c>
      <c r="E200" s="15">
        <f>214.47*1.05</f>
        <v>225.19</v>
      </c>
      <c r="F200" s="16">
        <f t="shared" si="4"/>
        <v>45.04</v>
      </c>
      <c r="G200" s="16">
        <f t="shared" si="5"/>
        <v>270.23</v>
      </c>
      <c r="H200" s="41">
        <v>30.23</v>
      </c>
      <c r="I200" s="42">
        <v>1.0549999999999999</v>
      </c>
      <c r="J200" s="18"/>
      <c r="K200" s="4"/>
      <c r="L200" s="4"/>
      <c r="M200" s="4"/>
      <c r="N200" s="4"/>
      <c r="O200" s="4"/>
    </row>
    <row r="201" spans="1:24" s="19" customFormat="1" ht="47.25" customHeight="1" x14ac:dyDescent="0.2">
      <c r="A201" s="356"/>
      <c r="B201" s="374"/>
      <c r="C201" s="14" t="s">
        <v>19</v>
      </c>
      <c r="D201" s="277" t="s">
        <v>16</v>
      </c>
      <c r="E201" s="15">
        <f>613.61*1.05</f>
        <v>644.29</v>
      </c>
      <c r="F201" s="16">
        <f t="shared" si="4"/>
        <v>128.86000000000001</v>
      </c>
      <c r="G201" s="16">
        <f t="shared" si="5"/>
        <v>773.15</v>
      </c>
      <c r="H201" s="41">
        <v>35.71</v>
      </c>
      <c r="I201" s="42">
        <v>1.0549999999999999</v>
      </c>
      <c r="J201" s="18"/>
      <c r="K201" s="4"/>
      <c r="L201" s="4"/>
      <c r="M201" s="4"/>
      <c r="N201" s="4"/>
      <c r="O201" s="4"/>
    </row>
    <row r="202" spans="1:24" s="19" customFormat="1" ht="43.5" customHeight="1" x14ac:dyDescent="0.2">
      <c r="A202" s="356"/>
      <c r="B202" s="374"/>
      <c r="C202" s="25" t="s">
        <v>22</v>
      </c>
      <c r="D202" s="277" t="s">
        <v>16</v>
      </c>
      <c r="E202" s="15">
        <f>148.65*1.05</f>
        <v>156.08000000000001</v>
      </c>
      <c r="F202" s="16">
        <f t="shared" si="4"/>
        <v>31.22</v>
      </c>
      <c r="G202" s="16">
        <f t="shared" si="5"/>
        <v>187.3</v>
      </c>
      <c r="H202" s="41"/>
      <c r="I202" s="42"/>
      <c r="J202" s="18"/>
      <c r="K202" s="4"/>
      <c r="L202" s="4"/>
      <c r="M202" s="4"/>
      <c r="N202" s="4"/>
      <c r="O202" s="4"/>
    </row>
    <row r="203" spans="1:24" s="19" customFormat="1" ht="47.25" customHeight="1" x14ac:dyDescent="0.2">
      <c r="A203" s="312" t="s">
        <v>63</v>
      </c>
      <c r="B203" s="375" t="s">
        <v>64</v>
      </c>
      <c r="C203" s="277" t="s">
        <v>13</v>
      </c>
      <c r="D203" s="14" t="s">
        <v>14</v>
      </c>
      <c r="E203" s="15">
        <f>1494.56*1.05</f>
        <v>1569.29</v>
      </c>
      <c r="F203" s="16">
        <f t="shared" si="4"/>
        <v>313.86</v>
      </c>
      <c r="G203" s="16">
        <f>E203+F203</f>
        <v>1883.15</v>
      </c>
      <c r="H203" s="41"/>
      <c r="I203" s="42"/>
      <c r="J203" s="18"/>
      <c r="K203" s="4"/>
      <c r="L203" s="4"/>
      <c r="M203" s="4"/>
      <c r="N203" s="4"/>
      <c r="O203" s="4"/>
    </row>
    <row r="204" spans="1:24" s="19" customFormat="1" ht="18" customHeight="1" x14ac:dyDescent="0.2">
      <c r="A204" s="312"/>
      <c r="B204" s="375"/>
      <c r="C204" s="277" t="s">
        <v>25</v>
      </c>
      <c r="D204" s="277" t="s">
        <v>16</v>
      </c>
      <c r="E204" s="15">
        <f>756.87*1.05</f>
        <v>794.71</v>
      </c>
      <c r="F204" s="16">
        <f t="shared" si="4"/>
        <v>158.94</v>
      </c>
      <c r="G204" s="16">
        <f>E204+F204</f>
        <v>953.65</v>
      </c>
      <c r="H204" s="41"/>
      <c r="I204" s="42"/>
      <c r="J204" s="18"/>
      <c r="K204" s="4"/>
      <c r="L204" s="4"/>
      <c r="M204" s="4"/>
      <c r="N204" s="4"/>
      <c r="O204" s="4"/>
    </row>
    <row r="205" spans="1:24" s="19" customFormat="1" ht="36" customHeight="1" x14ac:dyDescent="0.2">
      <c r="A205" s="312"/>
      <c r="B205" s="375"/>
      <c r="C205" s="14" t="s">
        <v>18</v>
      </c>
      <c r="D205" s="277" t="s">
        <v>16</v>
      </c>
      <c r="E205" s="15">
        <f>214.47*1.05</f>
        <v>225.19</v>
      </c>
      <c r="F205" s="16">
        <f t="shared" si="4"/>
        <v>45.04</v>
      </c>
      <c r="G205" s="16">
        <f>E205+F205</f>
        <v>270.23</v>
      </c>
      <c r="H205" s="41"/>
      <c r="I205" s="42"/>
      <c r="J205" s="18"/>
      <c r="K205" s="4"/>
      <c r="L205" s="4"/>
      <c r="M205" s="4"/>
      <c r="N205" s="4"/>
      <c r="O205" s="4"/>
      <c r="X205" s="29"/>
    </row>
    <row r="206" spans="1:24" s="19" customFormat="1" ht="51.75" customHeight="1" x14ac:dyDescent="0.2">
      <c r="A206" s="312"/>
      <c r="B206" s="375"/>
      <c r="C206" s="14" t="s">
        <v>19</v>
      </c>
      <c r="D206" s="277" t="s">
        <v>16</v>
      </c>
      <c r="E206" s="15">
        <f>895.28*1.05</f>
        <v>940.04</v>
      </c>
      <c r="F206" s="16">
        <f t="shared" si="4"/>
        <v>188.01</v>
      </c>
      <c r="G206" s="16">
        <f>E206+F206</f>
        <v>1128.05</v>
      </c>
      <c r="H206" s="41"/>
      <c r="I206" s="42"/>
      <c r="J206" s="18"/>
      <c r="K206" s="4"/>
      <c r="L206" s="4"/>
      <c r="M206" s="4"/>
      <c r="N206" s="4"/>
      <c r="O206" s="4"/>
      <c r="X206" s="29"/>
    </row>
    <row r="207" spans="1:24" s="19" customFormat="1" ht="40.5" customHeight="1" thickBot="1" x14ac:dyDescent="0.25">
      <c r="A207" s="312"/>
      <c r="B207" s="375"/>
      <c r="C207" s="25" t="s">
        <v>22</v>
      </c>
      <c r="D207" s="277" t="s">
        <v>16</v>
      </c>
      <c r="E207" s="15">
        <f>148.65*1.05</f>
        <v>156.08000000000001</v>
      </c>
      <c r="F207" s="16">
        <f t="shared" si="4"/>
        <v>31.22</v>
      </c>
      <c r="G207" s="16">
        <f>E207+F207</f>
        <v>187.3</v>
      </c>
      <c r="H207" s="41"/>
      <c r="I207" s="42"/>
      <c r="J207" s="18"/>
      <c r="K207" s="4"/>
      <c r="L207" s="4"/>
      <c r="M207" s="4"/>
      <c r="N207" s="4"/>
      <c r="O207" s="4"/>
    </row>
    <row r="208" spans="1:24" s="79" customFormat="1" ht="25.5" customHeight="1" x14ac:dyDescent="0.2">
      <c r="A208" s="299" t="s">
        <v>65</v>
      </c>
      <c r="B208" s="306" t="s">
        <v>66</v>
      </c>
      <c r="C208" s="14" t="s">
        <v>67</v>
      </c>
      <c r="D208" s="277" t="s">
        <v>16</v>
      </c>
      <c r="E208" s="15">
        <f>306.58*1.05</f>
        <v>321.91000000000003</v>
      </c>
      <c r="F208" s="16">
        <f t="shared" si="4"/>
        <v>64.38</v>
      </c>
      <c r="G208" s="16">
        <f t="shared" si="5"/>
        <v>386.29</v>
      </c>
      <c r="H208" s="9"/>
      <c r="I208" s="44"/>
      <c r="J208" s="26"/>
      <c r="K208" s="27"/>
      <c r="L208" s="27"/>
      <c r="M208" s="27"/>
      <c r="N208" s="27"/>
      <c r="O208" s="27"/>
      <c r="P208" s="260"/>
      <c r="Q208" s="260"/>
      <c r="R208" s="260"/>
      <c r="S208" s="261"/>
      <c r="T208" s="262"/>
    </row>
    <row r="209" spans="1:20" s="19" customFormat="1" ht="28.5" customHeight="1" x14ac:dyDescent="0.2">
      <c r="A209" s="299" t="s">
        <v>68</v>
      </c>
      <c r="B209" s="305" t="s">
        <v>69</v>
      </c>
      <c r="C209" s="14" t="s">
        <v>67</v>
      </c>
      <c r="D209" s="277" t="s">
        <v>16</v>
      </c>
      <c r="E209" s="15">
        <f>460.71*1.5</f>
        <v>691.07</v>
      </c>
      <c r="F209" s="16">
        <f t="shared" si="4"/>
        <v>138.21</v>
      </c>
      <c r="G209" s="16">
        <f t="shared" si="5"/>
        <v>829.28</v>
      </c>
      <c r="H209" s="17"/>
      <c r="I209" s="30">
        <f>E209*18%</f>
        <v>124.39</v>
      </c>
      <c r="J209" s="30">
        <f>E209*1.18</f>
        <v>815.46</v>
      </c>
      <c r="K209" s="28"/>
      <c r="L209" s="28"/>
      <c r="M209" s="28"/>
      <c r="N209" s="28"/>
      <c r="O209" s="28"/>
      <c r="P209" s="29"/>
      <c r="Q209" s="29"/>
      <c r="R209" s="29"/>
      <c r="S209" s="36"/>
      <c r="T209" s="45"/>
    </row>
    <row r="210" spans="1:20" s="51" customFormat="1" ht="27" customHeight="1" x14ac:dyDescent="0.2">
      <c r="A210" s="299" t="s">
        <v>70</v>
      </c>
      <c r="B210" s="305" t="s">
        <v>71</v>
      </c>
      <c r="C210" s="14" t="s">
        <v>67</v>
      </c>
      <c r="D210" s="277" t="s">
        <v>16</v>
      </c>
      <c r="E210" s="15">
        <f>496.18*1.5</f>
        <v>744.27</v>
      </c>
      <c r="F210" s="16">
        <f t="shared" si="4"/>
        <v>148.85</v>
      </c>
      <c r="G210" s="16">
        <f t="shared" si="5"/>
        <v>893.12</v>
      </c>
      <c r="H210" s="46"/>
      <c r="I210" s="30">
        <f>E210*18%</f>
        <v>133.97</v>
      </c>
      <c r="J210" s="30">
        <f>E210*1.18</f>
        <v>878.24</v>
      </c>
      <c r="K210" s="47"/>
      <c r="L210" s="47"/>
      <c r="M210" s="47"/>
      <c r="N210" s="47"/>
      <c r="O210" s="47"/>
      <c r="P210" s="48"/>
      <c r="Q210" s="48"/>
      <c r="R210" s="48"/>
      <c r="S210" s="49"/>
      <c r="T210" s="50"/>
    </row>
    <row r="211" spans="1:20" s="57" customFormat="1" ht="27" customHeight="1" x14ac:dyDescent="0.2">
      <c r="A211" s="299" t="s">
        <v>72</v>
      </c>
      <c r="B211" s="305" t="s">
        <v>73</v>
      </c>
      <c r="C211" s="14" t="s">
        <v>67</v>
      </c>
      <c r="D211" s="277" t="s">
        <v>16</v>
      </c>
      <c r="E211" s="15">
        <f>531.66*1.5</f>
        <v>797.49</v>
      </c>
      <c r="F211" s="16">
        <f t="shared" si="4"/>
        <v>159.5</v>
      </c>
      <c r="G211" s="16">
        <f t="shared" si="5"/>
        <v>956.99</v>
      </c>
      <c r="H211" s="52"/>
      <c r="I211" s="30">
        <f>E211*18%</f>
        <v>143.55000000000001</v>
      </c>
      <c r="J211" s="30">
        <f>E211*1.18</f>
        <v>941.04</v>
      </c>
      <c r="K211" s="53"/>
      <c r="L211" s="53"/>
      <c r="M211" s="53"/>
      <c r="N211" s="53"/>
      <c r="O211" s="53"/>
      <c r="P211" s="54"/>
      <c r="Q211" s="54"/>
      <c r="R211" s="54"/>
      <c r="S211" s="55"/>
      <c r="T211" s="56"/>
    </row>
    <row r="212" spans="1:20" s="51" customFormat="1" ht="26.25" customHeight="1" x14ac:dyDescent="0.2">
      <c r="A212" s="299" t="s">
        <v>74</v>
      </c>
      <c r="B212" s="305" t="s">
        <v>75</v>
      </c>
      <c r="C212" s="14" t="s">
        <v>67</v>
      </c>
      <c r="D212" s="277" t="s">
        <v>16</v>
      </c>
      <c r="E212" s="15">
        <f>596.9*1.5</f>
        <v>895.35</v>
      </c>
      <c r="F212" s="16">
        <f t="shared" si="4"/>
        <v>179.07</v>
      </c>
      <c r="G212" s="16">
        <f t="shared" si="5"/>
        <v>1074.42</v>
      </c>
      <c r="H212" s="46"/>
      <c r="I212" s="30" t="e">
        <f>#REF!*18%</f>
        <v>#REF!</v>
      </c>
      <c r="J212" s="30" t="e">
        <f>#REF!*1.18</f>
        <v>#REF!</v>
      </c>
      <c r="K212" s="58">
        <v>1.0549999999999999</v>
      </c>
      <c r="L212" s="47"/>
      <c r="M212" s="47"/>
      <c r="N212" s="47"/>
      <c r="O212" s="47"/>
      <c r="P212" s="48"/>
      <c r="Q212" s="48"/>
      <c r="R212" s="48"/>
      <c r="S212" s="49"/>
      <c r="T212" s="50"/>
    </row>
    <row r="213" spans="1:20" s="51" customFormat="1" ht="26.25" customHeight="1" x14ac:dyDescent="0.2">
      <c r="A213" s="299" t="s">
        <v>76</v>
      </c>
      <c r="B213" s="305" t="s">
        <v>77</v>
      </c>
      <c r="C213" s="14" t="s">
        <v>67</v>
      </c>
      <c r="D213" s="277" t="s">
        <v>16</v>
      </c>
      <c r="E213" s="15">
        <f>684.36*1.5</f>
        <v>1026.54</v>
      </c>
      <c r="F213" s="16">
        <f t="shared" si="4"/>
        <v>205.31</v>
      </c>
      <c r="G213" s="16">
        <f t="shared" si="5"/>
        <v>1231.8499999999999</v>
      </c>
      <c r="H213" s="46"/>
      <c r="I213" s="30" t="e">
        <f>#REF!*18%</f>
        <v>#REF!</v>
      </c>
      <c r="J213" s="30" t="e">
        <f>#REF!*1.18</f>
        <v>#REF!</v>
      </c>
      <c r="K213" s="58">
        <v>1.0549999999999999</v>
      </c>
      <c r="L213" s="47"/>
      <c r="M213" s="47"/>
      <c r="N213" s="47"/>
      <c r="O213" s="47"/>
      <c r="P213" s="48"/>
      <c r="Q213" s="48"/>
      <c r="R213" s="48"/>
      <c r="S213" s="49"/>
      <c r="T213" s="50"/>
    </row>
    <row r="214" spans="1:20" s="51" customFormat="1" ht="24.75" customHeight="1" x14ac:dyDescent="0.2">
      <c r="A214" s="299" t="s">
        <v>78</v>
      </c>
      <c r="B214" s="305" t="s">
        <v>79</v>
      </c>
      <c r="C214" s="14" t="s">
        <v>67</v>
      </c>
      <c r="D214" s="277" t="s">
        <v>16</v>
      </c>
      <c r="E214" s="15">
        <f>814.84*1.5</f>
        <v>1222.26</v>
      </c>
      <c r="F214" s="16">
        <f t="shared" si="4"/>
        <v>244.45</v>
      </c>
      <c r="G214" s="16">
        <f t="shared" si="5"/>
        <v>1466.71</v>
      </c>
      <c r="H214" s="46"/>
      <c r="I214" s="30" t="e">
        <f>#REF!*18%</f>
        <v>#REF!</v>
      </c>
      <c r="J214" s="30" t="e">
        <f>#REF!*1.18</f>
        <v>#REF!</v>
      </c>
      <c r="K214" s="58">
        <v>1.0549999999999999</v>
      </c>
      <c r="L214" s="47"/>
      <c r="M214" s="47"/>
      <c r="N214" s="47"/>
      <c r="O214" s="47"/>
      <c r="P214" s="48"/>
      <c r="Q214" s="48"/>
      <c r="R214" s="48"/>
      <c r="S214" s="49"/>
      <c r="T214" s="50"/>
    </row>
    <row r="215" spans="1:20" s="51" customFormat="1" ht="27" customHeight="1" x14ac:dyDescent="0.2">
      <c r="A215" s="299" t="s">
        <v>80</v>
      </c>
      <c r="B215" s="305" t="s">
        <v>81</v>
      </c>
      <c r="C215" s="14" t="s">
        <v>67</v>
      </c>
      <c r="D215" s="277" t="s">
        <v>16</v>
      </c>
      <c r="E215" s="15">
        <f>955.04*1.5</f>
        <v>1432.56</v>
      </c>
      <c r="F215" s="16">
        <f t="shared" si="4"/>
        <v>286.51</v>
      </c>
      <c r="G215" s="16">
        <f t="shared" si="5"/>
        <v>1719.07</v>
      </c>
      <c r="H215" s="46"/>
      <c r="I215" s="30" t="e">
        <f>#REF!*18%</f>
        <v>#REF!</v>
      </c>
      <c r="J215" s="30" t="e">
        <f>#REF!*1.18</f>
        <v>#REF!</v>
      </c>
      <c r="K215" s="58">
        <v>1.0549999999999999</v>
      </c>
      <c r="L215" s="47"/>
      <c r="M215" s="47"/>
      <c r="N215" s="47"/>
      <c r="O215" s="47"/>
      <c r="P215" s="48"/>
      <c r="Q215" s="48"/>
      <c r="R215" s="48"/>
      <c r="S215" s="49"/>
      <c r="T215" s="50"/>
    </row>
    <row r="216" spans="1:20" s="51" customFormat="1" ht="24.75" customHeight="1" x14ac:dyDescent="0.2">
      <c r="A216" s="299" t="s">
        <v>82</v>
      </c>
      <c r="B216" s="305" t="s">
        <v>83</v>
      </c>
      <c r="C216" s="14" t="s">
        <v>67</v>
      </c>
      <c r="D216" s="277" t="s">
        <v>16</v>
      </c>
      <c r="E216" s="15">
        <f>1100.79*1.5+0.01</f>
        <v>1651.2</v>
      </c>
      <c r="F216" s="16">
        <f t="shared" si="4"/>
        <v>330.24</v>
      </c>
      <c r="G216" s="16">
        <f t="shared" si="5"/>
        <v>1981.44</v>
      </c>
      <c r="H216" s="46"/>
      <c r="I216" s="30" t="e">
        <f>#REF!*18%</f>
        <v>#REF!</v>
      </c>
      <c r="J216" s="30" t="e">
        <f>#REF!*1.18</f>
        <v>#REF!</v>
      </c>
      <c r="K216" s="58">
        <v>1.0549999999999999</v>
      </c>
      <c r="L216" s="47"/>
      <c r="M216" s="47"/>
      <c r="N216" s="47"/>
      <c r="O216" s="47"/>
      <c r="P216" s="48"/>
      <c r="Q216" s="48"/>
      <c r="R216" s="48"/>
      <c r="S216" s="49"/>
      <c r="T216" s="50"/>
    </row>
    <row r="217" spans="1:20" s="51" customFormat="1" ht="42.75" customHeight="1" x14ac:dyDescent="0.2">
      <c r="A217" s="299" t="s">
        <v>84</v>
      </c>
      <c r="B217" s="307" t="s">
        <v>85</v>
      </c>
      <c r="C217" s="59" t="s">
        <v>86</v>
      </c>
      <c r="D217" s="277" t="s">
        <v>16</v>
      </c>
      <c r="E217" s="15">
        <f>174.58*1.05</f>
        <v>183.31</v>
      </c>
      <c r="F217" s="16">
        <f t="shared" si="4"/>
        <v>36.659999999999997</v>
      </c>
      <c r="G217" s="16">
        <f>E217+F217</f>
        <v>219.97</v>
      </c>
      <c r="H217" s="46"/>
      <c r="I217" s="30"/>
      <c r="J217" s="30"/>
      <c r="K217" s="58"/>
      <c r="L217" s="47"/>
      <c r="M217" s="47"/>
      <c r="N217" s="47"/>
      <c r="O217" s="47"/>
      <c r="P217" s="48"/>
      <c r="Q217" s="48"/>
      <c r="R217" s="48"/>
      <c r="S217" s="49"/>
      <c r="T217" s="50"/>
    </row>
    <row r="218" spans="1:20" s="51" customFormat="1" ht="65.25" customHeight="1" x14ac:dyDescent="0.2">
      <c r="A218" s="299" t="s">
        <v>87</v>
      </c>
      <c r="B218" s="307" t="s">
        <v>1736</v>
      </c>
      <c r="C218" s="59" t="s">
        <v>1741</v>
      </c>
      <c r="D218" s="277" t="s">
        <v>16</v>
      </c>
      <c r="E218" s="15">
        <f>884.76*1.05</f>
        <v>929</v>
      </c>
      <c r="F218" s="16">
        <f t="shared" si="4"/>
        <v>185.8</v>
      </c>
      <c r="G218" s="16">
        <f>E218+F218</f>
        <v>1114.8</v>
      </c>
      <c r="H218" s="60">
        <f>F218+G218</f>
        <v>1300.5999999999999</v>
      </c>
      <c r="I218" s="30"/>
      <c r="J218" s="30"/>
      <c r="K218" s="58"/>
      <c r="L218" s="47"/>
      <c r="M218" s="47"/>
      <c r="N218" s="47"/>
      <c r="O218" s="47"/>
      <c r="P218" s="48"/>
      <c r="Q218" s="48"/>
      <c r="R218" s="48"/>
      <c r="S218" s="49"/>
      <c r="T218" s="50"/>
    </row>
    <row r="219" spans="1:20" s="51" customFormat="1" ht="78.75" customHeight="1" x14ac:dyDescent="0.2">
      <c r="A219" s="299" t="s">
        <v>457</v>
      </c>
      <c r="B219" s="307" t="s">
        <v>1736</v>
      </c>
      <c r="C219" s="59" t="s">
        <v>1742</v>
      </c>
      <c r="D219" s="277" t="s">
        <v>16</v>
      </c>
      <c r="E219" s="15">
        <v>328.7</v>
      </c>
      <c r="F219" s="16">
        <f t="shared" ref="F219" si="8">E219*20%</f>
        <v>65.739999999999995</v>
      </c>
      <c r="G219" s="16">
        <f>E219+F219</f>
        <v>394.44</v>
      </c>
      <c r="H219" s="60"/>
      <c r="I219" s="30"/>
      <c r="J219" s="30"/>
      <c r="K219" s="58"/>
      <c r="L219" s="47"/>
      <c r="M219" s="47"/>
      <c r="N219" s="47"/>
      <c r="O219" s="47"/>
      <c r="P219" s="48"/>
      <c r="Q219" s="48"/>
      <c r="R219" s="48"/>
      <c r="S219" s="49"/>
      <c r="T219" s="50"/>
    </row>
    <row r="220" spans="1:20" s="51" customFormat="1" ht="33.75" customHeight="1" x14ac:dyDescent="0.2">
      <c r="A220" s="299" t="s">
        <v>88</v>
      </c>
      <c r="B220" s="311" t="s">
        <v>89</v>
      </c>
      <c r="C220" s="311"/>
      <c r="D220" s="311"/>
      <c r="E220" s="311"/>
      <c r="F220" s="311"/>
      <c r="G220" s="311"/>
      <c r="H220" s="60"/>
      <c r="I220" s="30"/>
      <c r="J220" s="30"/>
      <c r="K220" s="58"/>
      <c r="L220" s="47"/>
      <c r="M220" s="47"/>
      <c r="N220" s="47"/>
      <c r="O220" s="47"/>
      <c r="P220" s="48"/>
      <c r="Q220" s="48"/>
      <c r="R220" s="48"/>
      <c r="S220" s="49"/>
      <c r="T220" s="50"/>
    </row>
    <row r="221" spans="1:20" s="51" customFormat="1" ht="31.5" customHeight="1" x14ac:dyDescent="0.2">
      <c r="A221" s="299" t="s">
        <v>90</v>
      </c>
      <c r="B221" s="311">
        <v>5</v>
      </c>
      <c r="C221" s="311"/>
      <c r="D221" s="61" t="s">
        <v>91</v>
      </c>
      <c r="E221" s="15">
        <f>83.28*1.05</f>
        <v>87.44</v>
      </c>
      <c r="F221" s="16">
        <f t="shared" ref="F221:F231" si="9">E221*20%</f>
        <v>17.489999999999998</v>
      </c>
      <c r="G221" s="16">
        <f t="shared" ref="G221:G232" si="10">E221+F221</f>
        <v>104.93</v>
      </c>
      <c r="H221" s="60"/>
      <c r="I221" s="30"/>
      <c r="J221" s="30"/>
      <c r="K221" s="58"/>
      <c r="L221" s="47"/>
      <c r="M221" s="47"/>
      <c r="N221" s="47"/>
      <c r="O221" s="47"/>
      <c r="P221" s="48"/>
      <c r="Q221" s="48"/>
      <c r="R221" s="48"/>
      <c r="S221" s="49"/>
      <c r="T221" s="50"/>
    </row>
    <row r="222" spans="1:20" s="51" customFormat="1" ht="30.75" customHeight="1" x14ac:dyDescent="0.2">
      <c r="A222" s="299" t="s">
        <v>92</v>
      </c>
      <c r="B222" s="311">
        <v>30</v>
      </c>
      <c r="C222" s="311"/>
      <c r="D222" s="61" t="s">
        <v>91</v>
      </c>
      <c r="E222" s="15">
        <f>90.24*1.05</f>
        <v>94.75</v>
      </c>
      <c r="F222" s="16">
        <f t="shared" si="9"/>
        <v>18.95</v>
      </c>
      <c r="G222" s="16">
        <f t="shared" si="10"/>
        <v>113.7</v>
      </c>
      <c r="H222" s="60"/>
      <c r="I222" s="30"/>
      <c r="J222" s="30"/>
      <c r="K222" s="58"/>
      <c r="L222" s="47"/>
      <c r="M222" s="47"/>
      <c r="N222" s="47"/>
      <c r="O222" s="47"/>
      <c r="P222" s="48"/>
      <c r="Q222" s="48"/>
      <c r="R222" s="48"/>
      <c r="S222" s="49"/>
      <c r="T222" s="50"/>
    </row>
    <row r="223" spans="1:20" s="51" customFormat="1" ht="31.5" customHeight="1" x14ac:dyDescent="0.2">
      <c r="A223" s="299" t="s">
        <v>93</v>
      </c>
      <c r="B223" s="311">
        <v>100</v>
      </c>
      <c r="C223" s="311"/>
      <c r="D223" s="61" t="s">
        <v>91</v>
      </c>
      <c r="E223" s="15">
        <f>102.71*1.05</f>
        <v>107.85</v>
      </c>
      <c r="F223" s="16">
        <f t="shared" si="9"/>
        <v>21.57</v>
      </c>
      <c r="G223" s="16">
        <f t="shared" si="10"/>
        <v>129.41999999999999</v>
      </c>
      <c r="H223" s="60"/>
      <c r="I223" s="30"/>
      <c r="J223" s="30"/>
      <c r="K223" s="58"/>
      <c r="L223" s="47"/>
      <c r="M223" s="47"/>
      <c r="N223" s="47"/>
      <c r="O223" s="47"/>
      <c r="P223" s="48"/>
      <c r="Q223" s="48"/>
      <c r="R223" s="48"/>
      <c r="S223" s="49"/>
      <c r="T223" s="50"/>
    </row>
    <row r="224" spans="1:20" s="51" customFormat="1" ht="30.75" customHeight="1" x14ac:dyDescent="0.2">
      <c r="A224" s="299" t="s">
        <v>94</v>
      </c>
      <c r="B224" s="311">
        <v>200</v>
      </c>
      <c r="C224" s="311"/>
      <c r="D224" s="61" t="s">
        <v>91</v>
      </c>
      <c r="E224" s="15">
        <f>129.78*1.05</f>
        <v>136.27000000000001</v>
      </c>
      <c r="F224" s="16">
        <f t="shared" si="9"/>
        <v>27.25</v>
      </c>
      <c r="G224" s="16">
        <f t="shared" si="10"/>
        <v>163.52000000000001</v>
      </c>
      <c r="H224" s="60"/>
      <c r="I224" s="30"/>
      <c r="J224" s="30"/>
      <c r="K224" s="58"/>
      <c r="L224" s="47"/>
      <c r="M224" s="47"/>
      <c r="N224" s="47"/>
      <c r="O224" s="47"/>
      <c r="P224" s="48"/>
      <c r="Q224" s="48"/>
      <c r="R224" s="48"/>
      <c r="S224" s="49"/>
      <c r="T224" s="50"/>
    </row>
    <row r="225" spans="1:90" s="51" customFormat="1" ht="29.25" customHeight="1" x14ac:dyDescent="0.2">
      <c r="A225" s="299" t="s">
        <v>95</v>
      </c>
      <c r="B225" s="311">
        <v>450</v>
      </c>
      <c r="C225" s="311"/>
      <c r="D225" s="61" t="s">
        <v>91</v>
      </c>
      <c r="E225" s="15">
        <f>186.93*1.05</f>
        <v>196.28</v>
      </c>
      <c r="F225" s="16">
        <f t="shared" si="9"/>
        <v>39.26</v>
      </c>
      <c r="G225" s="16">
        <f t="shared" si="10"/>
        <v>235.54</v>
      </c>
      <c r="H225" s="60"/>
      <c r="I225" s="30"/>
      <c r="J225" s="30"/>
      <c r="K225" s="58"/>
      <c r="L225" s="47"/>
      <c r="M225" s="47"/>
      <c r="N225" s="47"/>
      <c r="O225" s="47"/>
      <c r="P225" s="48"/>
      <c r="Q225" s="48"/>
      <c r="R225" s="48"/>
      <c r="S225" s="49"/>
      <c r="T225" s="50"/>
    </row>
    <row r="226" spans="1:90" s="51" customFormat="1" ht="30.75" customHeight="1" x14ac:dyDescent="0.2">
      <c r="A226" s="299" t="s">
        <v>96</v>
      </c>
      <c r="B226" s="311">
        <v>600</v>
      </c>
      <c r="C226" s="311"/>
      <c r="D226" s="61" t="s">
        <v>91</v>
      </c>
      <c r="E226" s="15">
        <f>189.77*1.05</f>
        <v>199.26</v>
      </c>
      <c r="F226" s="16">
        <f t="shared" si="9"/>
        <v>39.85</v>
      </c>
      <c r="G226" s="16">
        <f t="shared" si="10"/>
        <v>239.11</v>
      </c>
      <c r="H226" s="60"/>
      <c r="I226" s="30"/>
      <c r="J226" s="30"/>
      <c r="K226" s="58"/>
      <c r="L226" s="47"/>
      <c r="M226" s="47"/>
      <c r="N226" s="47"/>
      <c r="O226" s="47"/>
      <c r="P226" s="48"/>
      <c r="Q226" s="48"/>
      <c r="R226" s="48"/>
      <c r="S226" s="49"/>
      <c r="T226" s="50"/>
    </row>
    <row r="227" spans="1:90" s="51" customFormat="1" ht="30.75" customHeight="1" x14ac:dyDescent="0.2">
      <c r="A227" s="299" t="s">
        <v>97</v>
      </c>
      <c r="B227" s="311">
        <v>700</v>
      </c>
      <c r="C227" s="311"/>
      <c r="D227" s="61" t="s">
        <v>91</v>
      </c>
      <c r="E227" s="15">
        <f>208.18*1.05</f>
        <v>218.59</v>
      </c>
      <c r="F227" s="16">
        <f t="shared" si="9"/>
        <v>43.72</v>
      </c>
      <c r="G227" s="16">
        <f t="shared" si="10"/>
        <v>262.31</v>
      </c>
      <c r="H227" s="60"/>
      <c r="I227" s="30"/>
      <c r="J227" s="30"/>
      <c r="K227" s="58"/>
      <c r="L227" s="47"/>
      <c r="M227" s="47"/>
      <c r="N227" s="47"/>
      <c r="O227" s="47"/>
      <c r="P227" s="48"/>
      <c r="Q227" s="48"/>
      <c r="R227" s="48"/>
      <c r="S227" s="49"/>
      <c r="T227" s="50"/>
    </row>
    <row r="228" spans="1:90" s="51" customFormat="1" ht="30.75" customHeight="1" x14ac:dyDescent="0.2">
      <c r="A228" s="299" t="s">
        <v>98</v>
      </c>
      <c r="B228" s="311">
        <v>800</v>
      </c>
      <c r="C228" s="311"/>
      <c r="D228" s="61" t="s">
        <v>91</v>
      </c>
      <c r="E228" s="15">
        <f>227.63*1.05</f>
        <v>239.01</v>
      </c>
      <c r="F228" s="16">
        <f t="shared" si="9"/>
        <v>47.8</v>
      </c>
      <c r="G228" s="16">
        <f t="shared" si="10"/>
        <v>286.81</v>
      </c>
      <c r="H228" s="60"/>
      <c r="I228" s="30"/>
      <c r="J228" s="30"/>
      <c r="K228" s="58"/>
      <c r="L228" s="47"/>
      <c r="M228" s="47"/>
      <c r="N228" s="47"/>
      <c r="O228" s="47"/>
      <c r="P228" s="48"/>
      <c r="Q228" s="48"/>
      <c r="R228" s="48"/>
      <c r="S228" s="49"/>
      <c r="T228" s="50"/>
    </row>
    <row r="229" spans="1:90" s="51" customFormat="1" ht="30.75" customHeight="1" x14ac:dyDescent="0.2">
      <c r="A229" s="299" t="s">
        <v>99</v>
      </c>
      <c r="B229" s="311">
        <v>900</v>
      </c>
      <c r="C229" s="311"/>
      <c r="D229" s="61" t="s">
        <v>91</v>
      </c>
      <c r="E229" s="15">
        <f>246.35*1.05</f>
        <v>258.67</v>
      </c>
      <c r="F229" s="16">
        <f t="shared" si="9"/>
        <v>51.73</v>
      </c>
      <c r="G229" s="16">
        <f t="shared" si="10"/>
        <v>310.39999999999998</v>
      </c>
      <c r="H229" s="60"/>
      <c r="I229" s="30"/>
      <c r="J229" s="30"/>
      <c r="K229" s="58"/>
      <c r="L229" s="47"/>
      <c r="M229" s="47"/>
      <c r="N229" s="47"/>
      <c r="O229" s="47"/>
      <c r="P229" s="48"/>
      <c r="Q229" s="48"/>
      <c r="R229" s="48"/>
      <c r="S229" s="49"/>
      <c r="T229" s="50"/>
    </row>
    <row r="230" spans="1:90" s="51" customFormat="1" ht="30.75" customHeight="1" x14ac:dyDescent="0.2">
      <c r="A230" s="299" t="s">
        <v>100</v>
      </c>
      <c r="B230" s="311">
        <v>1000</v>
      </c>
      <c r="C230" s="311"/>
      <c r="D230" s="61" t="s">
        <v>91</v>
      </c>
      <c r="E230" s="15">
        <f>260.24*1.05</f>
        <v>273.25</v>
      </c>
      <c r="F230" s="16">
        <f t="shared" si="9"/>
        <v>54.65</v>
      </c>
      <c r="G230" s="16">
        <f t="shared" si="10"/>
        <v>327.9</v>
      </c>
      <c r="H230" s="60"/>
      <c r="I230" s="30"/>
      <c r="J230" s="30"/>
      <c r="K230" s="58"/>
      <c r="L230" s="47"/>
      <c r="M230" s="47"/>
      <c r="N230" s="47"/>
      <c r="O230" s="47"/>
      <c r="P230" s="48"/>
      <c r="Q230" s="48"/>
      <c r="R230" s="48"/>
      <c r="S230" s="49"/>
      <c r="T230" s="50"/>
    </row>
    <row r="231" spans="1:90" s="51" customFormat="1" ht="33" customHeight="1" x14ac:dyDescent="0.2">
      <c r="A231" s="299" t="s">
        <v>101</v>
      </c>
      <c r="B231" s="311" t="s">
        <v>102</v>
      </c>
      <c r="C231" s="311"/>
      <c r="D231" s="61" t="s">
        <v>91</v>
      </c>
      <c r="E231" s="15">
        <f>286.6*1.05</f>
        <v>300.93</v>
      </c>
      <c r="F231" s="16">
        <f t="shared" si="9"/>
        <v>60.19</v>
      </c>
      <c r="G231" s="16">
        <f t="shared" si="10"/>
        <v>361.12</v>
      </c>
      <c r="H231" s="60"/>
      <c r="I231" s="30"/>
      <c r="J231" s="30"/>
      <c r="K231" s="58"/>
      <c r="L231" s="47"/>
      <c r="M231" s="47"/>
      <c r="N231" s="47"/>
      <c r="O231" s="47"/>
      <c r="P231" s="48"/>
      <c r="Q231" s="48"/>
      <c r="R231" s="48"/>
      <c r="S231" s="49"/>
      <c r="T231" s="50"/>
    </row>
    <row r="232" spans="1:90" s="51" customFormat="1" ht="33.75" customHeight="1" x14ac:dyDescent="0.2">
      <c r="A232" s="299" t="s">
        <v>103</v>
      </c>
      <c r="B232" s="311" t="s">
        <v>104</v>
      </c>
      <c r="C232" s="311"/>
      <c r="D232" s="61" t="s">
        <v>91</v>
      </c>
      <c r="E232" s="15">
        <f>73.93*1.05</f>
        <v>77.63</v>
      </c>
      <c r="F232" s="16">
        <f>E232*20%</f>
        <v>15.53</v>
      </c>
      <c r="G232" s="16">
        <f t="shared" si="10"/>
        <v>93.16</v>
      </c>
      <c r="H232" s="60"/>
      <c r="I232" s="30"/>
      <c r="J232" s="30"/>
      <c r="K232" s="58"/>
      <c r="L232" s="47"/>
      <c r="M232" s="47"/>
      <c r="N232" s="47"/>
      <c r="O232" s="47"/>
      <c r="P232" s="48"/>
      <c r="Q232" s="48"/>
      <c r="R232" s="48"/>
      <c r="S232" s="49"/>
      <c r="T232" s="50"/>
    </row>
    <row r="233" spans="1:90" s="51" customFormat="1" ht="23.25" customHeight="1" x14ac:dyDescent="0.2">
      <c r="A233" s="299" t="s">
        <v>105</v>
      </c>
      <c r="B233" s="324" t="s">
        <v>106</v>
      </c>
      <c r="C233" s="324"/>
      <c r="D233" s="324"/>
      <c r="E233" s="324"/>
      <c r="F233" s="324"/>
      <c r="G233" s="324"/>
      <c r="H233" s="60"/>
      <c r="I233" s="30"/>
      <c r="J233" s="30"/>
      <c r="K233" s="58"/>
      <c r="L233" s="47"/>
      <c r="M233" s="47"/>
      <c r="N233" s="47"/>
      <c r="O233" s="47"/>
      <c r="P233" s="48"/>
      <c r="Q233" s="48"/>
      <c r="R233" s="48"/>
      <c r="S233" s="49"/>
      <c r="T233" s="50"/>
    </row>
    <row r="234" spans="1:90" s="51" customFormat="1" ht="33" customHeight="1" x14ac:dyDescent="0.2">
      <c r="A234" s="299" t="s">
        <v>107</v>
      </c>
      <c r="B234" s="311" t="s">
        <v>108</v>
      </c>
      <c r="C234" s="311"/>
      <c r="D234" s="61" t="s">
        <v>91</v>
      </c>
      <c r="E234" s="15">
        <f>54.21*1.05</f>
        <v>56.92</v>
      </c>
      <c r="F234" s="16">
        <f>E234*20%</f>
        <v>11.38</v>
      </c>
      <c r="G234" s="16">
        <f>E234+F234</f>
        <v>68.3</v>
      </c>
      <c r="H234" s="60"/>
      <c r="I234" s="30"/>
      <c r="J234" s="30"/>
      <c r="K234" s="58"/>
      <c r="L234" s="47"/>
      <c r="M234" s="47"/>
      <c r="N234" s="47"/>
      <c r="O234" s="47"/>
      <c r="P234" s="48"/>
      <c r="Q234" s="48"/>
      <c r="R234" s="48"/>
      <c r="S234" s="49"/>
      <c r="T234" s="50"/>
    </row>
    <row r="235" spans="1:90" s="51" customFormat="1" ht="29.25" customHeight="1" x14ac:dyDescent="0.2">
      <c r="A235" s="299" t="s">
        <v>109</v>
      </c>
      <c r="B235" s="311" t="s">
        <v>110</v>
      </c>
      <c r="C235" s="311"/>
      <c r="D235" s="61" t="s">
        <v>91</v>
      </c>
      <c r="E235" s="15">
        <f>64.04*1.05</f>
        <v>67.239999999999995</v>
      </c>
      <c r="F235" s="16">
        <f>E235*20%</f>
        <v>13.45</v>
      </c>
      <c r="G235" s="16">
        <f>E235+F235</f>
        <v>80.69</v>
      </c>
      <c r="H235" s="60"/>
      <c r="I235" s="30"/>
      <c r="J235" s="30"/>
      <c r="K235" s="58"/>
      <c r="L235" s="47"/>
      <c r="M235" s="47"/>
      <c r="N235" s="47"/>
      <c r="O235" s="47"/>
      <c r="P235" s="48"/>
      <c r="Q235" s="48"/>
      <c r="R235" s="48"/>
      <c r="S235" s="49"/>
      <c r="T235" s="50"/>
    </row>
    <row r="236" spans="1:90" s="51" customFormat="1" ht="29.25" customHeight="1" x14ac:dyDescent="0.2">
      <c r="A236" s="299" t="s">
        <v>111</v>
      </c>
      <c r="B236" s="311" t="s">
        <v>112</v>
      </c>
      <c r="C236" s="311"/>
      <c r="D236" s="61" t="s">
        <v>113</v>
      </c>
      <c r="E236" s="15">
        <f>137.51*1.05</f>
        <v>144.38999999999999</v>
      </c>
      <c r="F236" s="16">
        <f>E236*20%</f>
        <v>28.88</v>
      </c>
      <c r="G236" s="16">
        <f>E236+F236</f>
        <v>173.27</v>
      </c>
      <c r="H236" s="62"/>
      <c r="I236" s="30"/>
      <c r="J236" s="30"/>
      <c r="K236" s="58"/>
      <c r="L236" s="47"/>
      <c r="M236" s="47"/>
      <c r="N236" s="47"/>
      <c r="O236" s="47"/>
      <c r="P236" s="48"/>
      <c r="Q236" s="48"/>
      <c r="R236" s="48"/>
      <c r="S236" s="49"/>
      <c r="T236" s="50"/>
    </row>
    <row r="237" spans="1:90" s="51" customFormat="1" ht="20.25" customHeight="1" x14ac:dyDescent="0.2">
      <c r="A237" s="299" t="s">
        <v>114</v>
      </c>
      <c r="B237" s="311" t="s">
        <v>115</v>
      </c>
      <c r="C237" s="311"/>
      <c r="D237" s="277" t="s">
        <v>116</v>
      </c>
      <c r="E237" s="15">
        <f>90.66*1.05</f>
        <v>95.19</v>
      </c>
      <c r="F237" s="16">
        <f>E237*20%</f>
        <v>19.04</v>
      </c>
      <c r="G237" s="16">
        <f>E237+F237</f>
        <v>114.23</v>
      </c>
      <c r="H237" s="62"/>
      <c r="I237" s="30"/>
      <c r="J237" s="30"/>
      <c r="K237" s="58"/>
      <c r="L237" s="47"/>
      <c r="M237" s="47"/>
      <c r="N237" s="47"/>
      <c r="O237" s="47"/>
      <c r="P237" s="48"/>
      <c r="Q237" s="48"/>
      <c r="R237" s="48"/>
      <c r="S237" s="49"/>
      <c r="T237" s="50"/>
      <c r="W237" s="48"/>
    </row>
    <row r="238" spans="1:90" s="51" customFormat="1" ht="35.25" customHeight="1" x14ac:dyDescent="0.2">
      <c r="A238" s="299" t="s">
        <v>1737</v>
      </c>
      <c r="B238" s="311" t="s">
        <v>1740</v>
      </c>
      <c r="C238" s="311"/>
      <c r="D238" s="277" t="s">
        <v>16</v>
      </c>
      <c r="E238" s="15">
        <v>223.5</v>
      </c>
      <c r="F238" s="16">
        <f>E238*20%</f>
        <v>44.7</v>
      </c>
      <c r="G238" s="16">
        <f>E238+F238</f>
        <v>268.2</v>
      </c>
      <c r="H238" s="62"/>
      <c r="I238" s="30"/>
      <c r="J238" s="30"/>
      <c r="K238" s="58"/>
      <c r="L238" s="47"/>
      <c r="M238" s="47"/>
      <c r="N238" s="47"/>
      <c r="O238" s="47"/>
      <c r="P238" s="48"/>
      <c r="Q238" s="48"/>
      <c r="R238" s="48"/>
      <c r="S238" s="49"/>
      <c r="T238" s="50"/>
      <c r="W238" s="48"/>
    </row>
    <row r="239" spans="1:90" s="51" customFormat="1" ht="60.75" customHeight="1" thickBot="1" x14ac:dyDescent="0.25">
      <c r="A239" s="373" t="s">
        <v>117</v>
      </c>
      <c r="B239" s="373"/>
      <c r="C239" s="373"/>
      <c r="D239" s="373"/>
      <c r="E239" s="373"/>
      <c r="F239" s="373"/>
      <c r="G239" s="373"/>
      <c r="H239" s="373"/>
      <c r="I239" s="63"/>
      <c r="J239" s="63"/>
      <c r="K239" s="64"/>
      <c r="L239" s="65"/>
      <c r="M239" s="65"/>
      <c r="N239" s="65"/>
      <c r="O239" s="65"/>
      <c r="P239" s="66"/>
      <c r="Q239" s="66"/>
      <c r="R239" s="66"/>
      <c r="S239" s="67"/>
      <c r="T239" s="50"/>
      <c r="W239" s="48"/>
      <c r="CE239" s="369" t="s">
        <v>118</v>
      </c>
      <c r="CF239" s="370"/>
      <c r="CG239" s="370"/>
      <c r="CH239" s="370"/>
      <c r="CI239" s="370"/>
      <c r="CJ239" s="370"/>
      <c r="CK239" s="370"/>
      <c r="CL239" s="371"/>
    </row>
    <row r="240" spans="1:90" s="51" customFormat="1" ht="29.25" customHeight="1" x14ac:dyDescent="0.2">
      <c r="A240" s="304"/>
      <c r="B240" s="304"/>
      <c r="C240" s="304"/>
      <c r="D240" s="304"/>
      <c r="E240" s="304"/>
      <c r="F240" s="304"/>
      <c r="G240" s="304"/>
      <c r="H240" s="68"/>
      <c r="I240" s="30"/>
      <c r="J240" s="30"/>
      <c r="K240" s="58"/>
      <c r="L240" s="47"/>
      <c r="M240" s="47"/>
      <c r="N240" s="47"/>
      <c r="O240" s="47"/>
      <c r="P240" s="48"/>
      <c r="Q240" s="48"/>
      <c r="R240" s="48"/>
      <c r="S240" s="48"/>
      <c r="T240" s="48"/>
      <c r="W240" s="48"/>
    </row>
    <row r="241" spans="1:88" s="51" customFormat="1" ht="21" customHeight="1" x14ac:dyDescent="0.2">
      <c r="A241" s="318" t="s">
        <v>119</v>
      </c>
      <c r="B241" s="318"/>
      <c r="C241" s="318"/>
      <c r="D241" s="318"/>
      <c r="E241" s="318"/>
      <c r="F241" s="318"/>
      <c r="G241" s="318"/>
      <c r="H241" s="69"/>
      <c r="I241" s="18" t="e">
        <f>#REF!*18%</f>
        <v>#REF!</v>
      </c>
      <c r="J241" s="18" t="e">
        <f>#REF!*1.18</f>
        <v>#REF!</v>
      </c>
      <c r="K241" s="42">
        <v>1.0549999999999999</v>
      </c>
      <c r="L241" s="69"/>
      <c r="M241" s="69"/>
      <c r="N241" s="69"/>
      <c r="O241" s="69"/>
    </row>
    <row r="242" spans="1:88" s="51" customFormat="1" ht="8.25" customHeight="1" x14ac:dyDescent="0.2">
      <c r="A242" s="70"/>
      <c r="B242" s="71"/>
      <c r="C242" s="72"/>
      <c r="D242" s="73"/>
      <c r="E242" s="73"/>
      <c r="F242" s="74"/>
      <c r="G242" s="74"/>
      <c r="H242" s="69"/>
      <c r="I242" s="18" t="e">
        <f>#REF!*18%</f>
        <v>#REF!</v>
      </c>
      <c r="J242" s="18" t="e">
        <f>#REF!*1.18</f>
        <v>#REF!</v>
      </c>
      <c r="K242" s="42">
        <v>1.0549999999999999</v>
      </c>
      <c r="L242" s="69"/>
      <c r="M242" s="69"/>
      <c r="N242" s="69"/>
      <c r="O242" s="69"/>
    </row>
    <row r="243" spans="1:88" s="51" customFormat="1" ht="69.75" customHeight="1" x14ac:dyDescent="0.2">
      <c r="A243" s="278" t="s">
        <v>120</v>
      </c>
      <c r="B243" s="278" t="s">
        <v>121</v>
      </c>
      <c r="C243" s="312" t="s">
        <v>122</v>
      </c>
      <c r="D243" s="312"/>
      <c r="E243" s="296" t="s">
        <v>7</v>
      </c>
      <c r="F243" s="8" t="s">
        <v>8</v>
      </c>
      <c r="G243" s="296" t="s">
        <v>9</v>
      </c>
      <c r="H243" s="69"/>
      <c r="I243" s="18" t="e">
        <f>#REF!*18%</f>
        <v>#REF!</v>
      </c>
      <c r="J243" s="18" t="e">
        <f>#REF!*1.18</f>
        <v>#REF!</v>
      </c>
      <c r="K243" s="42">
        <v>1.0549999999999999</v>
      </c>
      <c r="L243" s="69"/>
      <c r="M243" s="69"/>
      <c r="N243" s="69"/>
      <c r="O243" s="69"/>
    </row>
    <row r="244" spans="1:88" s="51" customFormat="1" ht="15.75" customHeight="1" x14ac:dyDescent="0.2">
      <c r="A244" s="303">
        <v>1</v>
      </c>
      <c r="B244" s="303">
        <v>2</v>
      </c>
      <c r="C244" s="372">
        <v>4</v>
      </c>
      <c r="D244" s="372"/>
      <c r="E244" s="75">
        <v>5</v>
      </c>
      <c r="F244" s="75">
        <v>6</v>
      </c>
      <c r="G244" s="75">
        <v>7</v>
      </c>
      <c r="H244" s="69"/>
      <c r="I244" s="18"/>
      <c r="J244" s="18"/>
      <c r="K244" s="42"/>
      <c r="L244" s="69"/>
      <c r="M244" s="69"/>
      <c r="N244" s="69"/>
      <c r="O244" s="69"/>
    </row>
    <row r="245" spans="1:88" s="51" customFormat="1" ht="43.5" customHeight="1" x14ac:dyDescent="0.2">
      <c r="A245" s="76">
        <v>1</v>
      </c>
      <c r="B245" s="80" t="s">
        <v>123</v>
      </c>
      <c r="C245" s="364" t="s">
        <v>1738</v>
      </c>
      <c r="D245" s="364"/>
      <c r="E245" s="78">
        <v>313.39</v>
      </c>
      <c r="F245" s="16">
        <f t="shared" ref="F245:F252" si="11">E245*20%</f>
        <v>62.68</v>
      </c>
      <c r="G245" s="16">
        <f t="shared" ref="G245:G252" si="12">E245+F245</f>
        <v>376.07</v>
      </c>
      <c r="H245" s="69"/>
      <c r="I245" s="18"/>
      <c r="J245" s="18"/>
      <c r="K245" s="42"/>
      <c r="L245" s="69"/>
      <c r="M245" s="69"/>
      <c r="N245" s="69"/>
      <c r="O245" s="69"/>
    </row>
    <row r="246" spans="1:88" s="51" customFormat="1" ht="40.5" customHeight="1" x14ac:dyDescent="0.2">
      <c r="A246" s="76">
        <v>2</v>
      </c>
      <c r="B246" s="80" t="s">
        <v>123</v>
      </c>
      <c r="C246" s="364" t="s">
        <v>1739</v>
      </c>
      <c r="D246" s="364"/>
      <c r="E246" s="78">
        <v>626.78</v>
      </c>
      <c r="F246" s="16">
        <f t="shared" si="11"/>
        <v>125.36</v>
      </c>
      <c r="G246" s="16">
        <f t="shared" si="12"/>
        <v>752.14</v>
      </c>
      <c r="H246" s="77" t="s">
        <v>124</v>
      </c>
      <c r="I246" s="18"/>
      <c r="J246" s="18"/>
      <c r="K246" s="42"/>
      <c r="L246" s="69"/>
      <c r="M246" s="69"/>
      <c r="N246" s="69"/>
      <c r="O246" s="69"/>
    </row>
    <row r="247" spans="1:88" s="51" customFormat="1" ht="40.5" customHeight="1" x14ac:dyDescent="0.2">
      <c r="A247" s="76">
        <v>3</v>
      </c>
      <c r="B247" s="80" t="s">
        <v>125</v>
      </c>
      <c r="C247" s="364" t="s">
        <v>1738</v>
      </c>
      <c r="D247" s="364"/>
      <c r="E247" s="78">
        <v>458.15</v>
      </c>
      <c r="F247" s="16">
        <f t="shared" si="11"/>
        <v>91.63</v>
      </c>
      <c r="G247" s="16">
        <f t="shared" si="12"/>
        <v>549.78</v>
      </c>
      <c r="H247" s="77"/>
      <c r="I247" s="18"/>
      <c r="J247" s="18"/>
      <c r="K247" s="42"/>
      <c r="L247" s="69"/>
      <c r="M247" s="69"/>
      <c r="N247" s="69"/>
      <c r="O247" s="69"/>
    </row>
    <row r="248" spans="1:88" s="19" customFormat="1" ht="42" customHeight="1" x14ac:dyDescent="0.2">
      <c r="A248" s="76">
        <v>4</v>
      </c>
      <c r="B248" s="80" t="s">
        <v>125</v>
      </c>
      <c r="C248" s="364" t="s">
        <v>1739</v>
      </c>
      <c r="D248" s="364"/>
      <c r="E248" s="78">
        <f>885.35*1.05</f>
        <v>929.62</v>
      </c>
      <c r="F248" s="16">
        <f t="shared" si="11"/>
        <v>185.92</v>
      </c>
      <c r="G248" s="16">
        <f t="shared" si="12"/>
        <v>1115.54</v>
      </c>
      <c r="H248" s="77" t="s">
        <v>124</v>
      </c>
      <c r="I248" s="18" t="e">
        <f>#REF!*18%</f>
        <v>#REF!</v>
      </c>
      <c r="J248" s="18" t="e">
        <f>#REF!*1.18</f>
        <v>#REF!</v>
      </c>
      <c r="K248" s="42">
        <v>1.0549999999999999</v>
      </c>
      <c r="L248" s="4"/>
      <c r="M248" s="4"/>
      <c r="N248" s="4"/>
      <c r="O248" s="4"/>
      <c r="CI248" s="79"/>
      <c r="CJ248" s="79"/>
    </row>
    <row r="249" spans="1:88" s="19" customFormat="1" ht="42" customHeight="1" x14ac:dyDescent="0.2">
      <c r="A249" s="76">
        <v>5</v>
      </c>
      <c r="B249" s="80" t="s">
        <v>126</v>
      </c>
      <c r="C249" s="364" t="s">
        <v>1738</v>
      </c>
      <c r="D249" s="364"/>
      <c r="E249" s="78">
        <v>237.28</v>
      </c>
      <c r="F249" s="16">
        <f t="shared" si="11"/>
        <v>47.46</v>
      </c>
      <c r="G249" s="16">
        <f t="shared" si="12"/>
        <v>284.74</v>
      </c>
      <c r="H249" s="77"/>
      <c r="I249" s="18"/>
      <c r="J249" s="18"/>
      <c r="K249" s="42"/>
      <c r="L249" s="4"/>
      <c r="M249" s="4"/>
      <c r="N249" s="4"/>
      <c r="O249" s="4"/>
      <c r="CI249" s="79"/>
      <c r="CJ249" s="79"/>
    </row>
    <row r="250" spans="1:88" s="19" customFormat="1" ht="46.5" customHeight="1" x14ac:dyDescent="0.2">
      <c r="A250" s="76">
        <v>6</v>
      </c>
      <c r="B250" s="80" t="s">
        <v>126</v>
      </c>
      <c r="C250" s="364" t="s">
        <v>1739</v>
      </c>
      <c r="D250" s="364"/>
      <c r="E250" s="78">
        <v>474.56</v>
      </c>
      <c r="F250" s="16">
        <f t="shared" si="11"/>
        <v>94.91</v>
      </c>
      <c r="G250" s="16">
        <f t="shared" si="12"/>
        <v>569.47</v>
      </c>
      <c r="H250" s="77" t="s">
        <v>124</v>
      </c>
      <c r="I250" s="18" t="e">
        <f>#REF!*18%</f>
        <v>#REF!</v>
      </c>
      <c r="J250" s="18" t="e">
        <f>#REF!*1.18</f>
        <v>#REF!</v>
      </c>
      <c r="K250" s="42">
        <v>1.0549999999999999</v>
      </c>
      <c r="L250" s="4"/>
      <c r="M250" s="4"/>
      <c r="N250" s="4"/>
      <c r="O250" s="4"/>
    </row>
    <row r="251" spans="1:88" s="19" customFormat="1" ht="46.5" customHeight="1" x14ac:dyDescent="0.2">
      <c r="A251" s="76">
        <v>7</v>
      </c>
      <c r="B251" s="80" t="s">
        <v>127</v>
      </c>
      <c r="C251" s="364" t="s">
        <v>1738</v>
      </c>
      <c r="D251" s="364"/>
      <c r="E251" s="78">
        <v>575.91999999999996</v>
      </c>
      <c r="F251" s="16">
        <f t="shared" si="11"/>
        <v>115.18</v>
      </c>
      <c r="G251" s="16">
        <f t="shared" si="12"/>
        <v>691.1</v>
      </c>
      <c r="H251" s="77"/>
      <c r="I251" s="18"/>
      <c r="J251" s="18"/>
      <c r="K251" s="42"/>
      <c r="L251" s="4"/>
      <c r="M251" s="4"/>
      <c r="N251" s="4"/>
      <c r="O251" s="4"/>
    </row>
    <row r="252" spans="1:88" s="19" customFormat="1" ht="44.25" customHeight="1" x14ac:dyDescent="0.2">
      <c r="A252" s="76">
        <v>8</v>
      </c>
      <c r="B252" s="80" t="s">
        <v>127</v>
      </c>
      <c r="C252" s="364" t="s">
        <v>1739</v>
      </c>
      <c r="D252" s="364"/>
      <c r="E252" s="78">
        <v>1151.8399999999999</v>
      </c>
      <c r="F252" s="16">
        <f t="shared" si="11"/>
        <v>230.37</v>
      </c>
      <c r="G252" s="16">
        <f t="shared" si="12"/>
        <v>1382.21</v>
      </c>
      <c r="H252" s="4"/>
      <c r="I252" s="18" t="e">
        <f>#REF!*18%</f>
        <v>#REF!</v>
      </c>
      <c r="J252" s="18" t="e">
        <f>#REF!*1.18</f>
        <v>#REF!</v>
      </c>
      <c r="K252" s="42">
        <v>1.0549999999999999</v>
      </c>
      <c r="L252" s="4"/>
      <c r="M252" s="4"/>
      <c r="N252" s="4"/>
      <c r="O252" s="4"/>
    </row>
    <row r="253" spans="1:88" s="19" customFormat="1" ht="6" customHeight="1" x14ac:dyDescent="0.2">
      <c r="A253" s="81"/>
      <c r="B253" s="82"/>
      <c r="C253" s="83"/>
      <c r="D253" s="83"/>
      <c r="E253" s="84"/>
      <c r="F253" s="85"/>
      <c r="G253" s="86"/>
      <c r="H253" s="4"/>
      <c r="I253" s="18" t="e">
        <f>#REF!*18%</f>
        <v>#REF!</v>
      </c>
      <c r="J253" s="18" t="e">
        <f>#REF!*1.18</f>
        <v>#REF!</v>
      </c>
      <c r="K253" s="42">
        <v>1.0549999999999999</v>
      </c>
      <c r="L253" s="4"/>
      <c r="M253" s="4"/>
      <c r="N253" s="4"/>
      <c r="O253" s="4"/>
    </row>
    <row r="254" spans="1:88" s="19" customFormat="1" ht="36" hidden="1" customHeight="1" thickBot="1" x14ac:dyDescent="0.4">
      <c r="A254" s="365" t="s">
        <v>128</v>
      </c>
      <c r="B254" s="366"/>
      <c r="C254" s="366"/>
      <c r="D254" s="366"/>
      <c r="E254" s="366"/>
      <c r="F254" s="366"/>
      <c r="G254" s="367"/>
      <c r="H254" s="87" t="s">
        <v>129</v>
      </c>
      <c r="I254" s="88" t="e">
        <f>#REF!*18%</f>
        <v>#REF!</v>
      </c>
      <c r="J254" s="88" t="e">
        <f>#REF!*1.18</f>
        <v>#REF!</v>
      </c>
      <c r="K254" s="89">
        <v>1.0549999999999999</v>
      </c>
      <c r="L254" s="87"/>
      <c r="M254" s="87"/>
      <c r="N254" s="87"/>
      <c r="O254" s="87"/>
      <c r="P254" s="90"/>
      <c r="Q254" s="90"/>
      <c r="R254" s="90"/>
      <c r="S254" s="90"/>
      <c r="T254" s="90"/>
      <c r="U254" s="90"/>
      <c r="V254" s="90"/>
      <c r="W254" s="90"/>
      <c r="X254" s="90"/>
      <c r="Y254" s="90"/>
      <c r="Z254" s="90"/>
      <c r="AA254" s="90"/>
      <c r="AB254" s="90"/>
      <c r="AC254" s="90"/>
      <c r="AD254" s="90"/>
      <c r="AE254" s="90"/>
      <c r="AF254" s="90"/>
      <c r="AG254" s="90"/>
      <c r="AH254" s="90"/>
      <c r="AI254" s="90"/>
      <c r="AJ254" s="90"/>
      <c r="AK254" s="90"/>
      <c r="AL254" s="90"/>
      <c r="AM254" s="90"/>
      <c r="AN254" s="90"/>
      <c r="AO254" s="90"/>
      <c r="AP254" s="90"/>
      <c r="AQ254" s="90"/>
      <c r="AR254" s="90"/>
      <c r="AS254" s="90"/>
      <c r="AT254" s="90"/>
      <c r="AU254" s="90"/>
      <c r="AV254" s="90"/>
      <c r="AW254" s="90"/>
      <c r="AX254" s="90"/>
      <c r="AY254" s="90"/>
      <c r="AZ254" s="90"/>
      <c r="BA254" s="90"/>
      <c r="BB254" s="90"/>
      <c r="BC254" s="90"/>
      <c r="BD254" s="90"/>
      <c r="BE254" s="90"/>
      <c r="BF254" s="90"/>
      <c r="BG254" s="90"/>
      <c r="BH254" s="90"/>
      <c r="BI254" s="90"/>
      <c r="BJ254" s="90"/>
      <c r="BK254" s="90"/>
      <c r="BL254" s="90"/>
      <c r="BM254" s="90"/>
      <c r="BN254" s="90"/>
      <c r="BO254" s="90"/>
      <c r="BP254" s="90"/>
      <c r="BQ254" s="90"/>
      <c r="BR254" s="90"/>
      <c r="BS254" s="90"/>
      <c r="BT254" s="90"/>
      <c r="BU254" s="90"/>
      <c r="BV254" s="90"/>
      <c r="BW254" s="90"/>
      <c r="BX254" s="90"/>
      <c r="BY254" s="90"/>
      <c r="BZ254" s="90"/>
      <c r="CA254" s="90"/>
      <c r="CB254" s="90"/>
      <c r="CC254" s="90"/>
      <c r="CD254" s="90"/>
      <c r="CE254" s="90"/>
      <c r="CF254" s="90"/>
      <c r="CG254" s="90"/>
      <c r="CH254" s="90"/>
      <c r="CI254" s="90"/>
    </row>
    <row r="255" spans="1:88" s="19" customFormat="1" ht="24.75" customHeight="1" x14ac:dyDescent="0.2">
      <c r="A255" s="368" t="s">
        <v>130</v>
      </c>
      <c r="B255" s="368"/>
      <c r="C255" s="368"/>
      <c r="D255" s="368"/>
      <c r="E255" s="368"/>
      <c r="F255" s="368"/>
      <c r="G255" s="368"/>
      <c r="H255" s="4"/>
      <c r="I255" s="18" t="e">
        <f>#REF!*18%</f>
        <v>#REF!</v>
      </c>
      <c r="J255" s="18" t="e">
        <f>#REF!*1.18</f>
        <v>#REF!</v>
      </c>
      <c r="K255" s="42">
        <v>1.0549999999999999</v>
      </c>
      <c r="L255" s="4"/>
      <c r="M255" s="4"/>
      <c r="N255" s="4"/>
      <c r="O255" s="4"/>
    </row>
    <row r="256" spans="1:88" s="19" customFormat="1" ht="8.25" customHeight="1" x14ac:dyDescent="0.2">
      <c r="A256" s="91"/>
      <c r="B256" s="302"/>
      <c r="C256" s="302"/>
      <c r="D256" s="302"/>
      <c r="E256" s="302"/>
      <c r="F256" s="302"/>
      <c r="G256" s="302"/>
      <c r="H256" s="4"/>
      <c r="I256" s="18" t="e">
        <f>#REF!*18%</f>
        <v>#REF!</v>
      </c>
      <c r="J256" s="18" t="e">
        <f>#REF!*1.18</f>
        <v>#REF!</v>
      </c>
      <c r="K256" s="42">
        <v>1.0549999999999999</v>
      </c>
      <c r="L256" s="4"/>
      <c r="M256" s="4"/>
      <c r="N256" s="4"/>
      <c r="O256" s="4"/>
    </row>
    <row r="257" spans="1:63" s="19" customFormat="1" ht="71.25" customHeight="1" x14ac:dyDescent="0.2">
      <c r="A257" s="92" t="s">
        <v>131</v>
      </c>
      <c r="B257" s="93" t="s">
        <v>121</v>
      </c>
      <c r="C257" s="351" t="s">
        <v>6</v>
      </c>
      <c r="D257" s="351"/>
      <c r="E257" s="296" t="s">
        <v>7</v>
      </c>
      <c r="F257" s="8" t="s">
        <v>8</v>
      </c>
      <c r="G257" s="296" t="s">
        <v>9</v>
      </c>
      <c r="H257" s="4"/>
      <c r="I257" s="18" t="e">
        <f>#REF!*18%</f>
        <v>#REF!</v>
      </c>
      <c r="J257" s="18" t="e">
        <f>#REF!*1.18</f>
        <v>#REF!</v>
      </c>
      <c r="K257" s="42">
        <v>1.0549999999999999</v>
      </c>
      <c r="L257" s="4"/>
      <c r="M257" s="4"/>
      <c r="N257" s="4"/>
      <c r="O257" s="4"/>
    </row>
    <row r="258" spans="1:63" s="19" customFormat="1" ht="39" customHeight="1" x14ac:dyDescent="0.2">
      <c r="A258" s="94">
        <v>1</v>
      </c>
      <c r="B258" s="95" t="s">
        <v>132</v>
      </c>
      <c r="C258" s="353" t="s">
        <v>133</v>
      </c>
      <c r="D258" s="353"/>
      <c r="E258" s="78">
        <f>1071.2*1.05</f>
        <v>1124.76</v>
      </c>
      <c r="F258" s="16">
        <f t="shared" ref="F258:F264" si="13">E258*20%</f>
        <v>224.95</v>
      </c>
      <c r="G258" s="16">
        <f t="shared" ref="G258:G264" si="14">E258+F258</f>
        <v>1349.71</v>
      </c>
      <c r="H258" s="4"/>
      <c r="I258" s="18" t="e">
        <f>#REF!*18%</f>
        <v>#REF!</v>
      </c>
      <c r="J258" s="18" t="e">
        <f>#REF!*1.18</f>
        <v>#REF!</v>
      </c>
      <c r="K258" s="42">
        <v>1.0549999999999999</v>
      </c>
      <c r="L258" s="4"/>
      <c r="M258" s="4"/>
      <c r="N258" s="4"/>
      <c r="O258" s="4"/>
      <c r="Y258" s="96">
        <f>1124.76/1.05</f>
        <v>1071.2</v>
      </c>
    </row>
    <row r="259" spans="1:63" s="19" customFormat="1" ht="29.25" customHeight="1" x14ac:dyDescent="0.2">
      <c r="A259" s="94">
        <v>2</v>
      </c>
      <c r="B259" s="95" t="s">
        <v>134</v>
      </c>
      <c r="C259" s="353" t="s">
        <v>135</v>
      </c>
      <c r="D259" s="353"/>
      <c r="E259" s="78">
        <f>1153.47*1.05</f>
        <v>1211.1400000000001</v>
      </c>
      <c r="F259" s="16">
        <f t="shared" si="13"/>
        <v>242.23</v>
      </c>
      <c r="G259" s="16">
        <f t="shared" si="14"/>
        <v>1453.37</v>
      </c>
      <c r="H259" s="4"/>
      <c r="I259" s="18" t="e">
        <f>#REF!*18%</f>
        <v>#REF!</v>
      </c>
      <c r="J259" s="18" t="e">
        <f>#REF!*1.18</f>
        <v>#REF!</v>
      </c>
      <c r="K259" s="42">
        <v>1.0549999999999999</v>
      </c>
      <c r="L259" s="4"/>
      <c r="M259" s="4"/>
      <c r="N259" s="4"/>
      <c r="O259" s="4"/>
      <c r="Y259" s="96">
        <f>1211.14/1.05</f>
        <v>1153.47</v>
      </c>
    </row>
    <row r="260" spans="1:63" s="19" customFormat="1" ht="36" customHeight="1" x14ac:dyDescent="0.2">
      <c r="A260" s="94">
        <v>3</v>
      </c>
      <c r="B260" s="95" t="s">
        <v>136</v>
      </c>
      <c r="C260" s="353" t="s">
        <v>133</v>
      </c>
      <c r="D260" s="353"/>
      <c r="E260" s="78">
        <f>1253.73*1.05</f>
        <v>1316.42</v>
      </c>
      <c r="F260" s="16">
        <f t="shared" si="13"/>
        <v>263.27999999999997</v>
      </c>
      <c r="G260" s="16">
        <f t="shared" si="14"/>
        <v>1579.7</v>
      </c>
      <c r="H260" s="4"/>
      <c r="I260" s="18" t="e">
        <f>#REF!*18%</f>
        <v>#REF!</v>
      </c>
      <c r="J260" s="18" t="e">
        <f>#REF!*1.18</f>
        <v>#REF!</v>
      </c>
      <c r="K260" s="42">
        <v>1.0549999999999999</v>
      </c>
      <c r="L260" s="4"/>
      <c r="M260" s="4"/>
      <c r="N260" s="4"/>
      <c r="O260" s="4"/>
      <c r="Y260" s="96">
        <f>1297.52/1.05</f>
        <v>1235.73</v>
      </c>
    </row>
    <row r="261" spans="1:63" s="19" customFormat="1" ht="45" customHeight="1" x14ac:dyDescent="0.2">
      <c r="A261" s="94">
        <v>4</v>
      </c>
      <c r="B261" s="95" t="s">
        <v>137</v>
      </c>
      <c r="C261" s="353" t="s">
        <v>138</v>
      </c>
      <c r="D261" s="353"/>
      <c r="E261" s="78">
        <f>1318*1.05</f>
        <v>1383.9</v>
      </c>
      <c r="F261" s="16">
        <f t="shared" si="13"/>
        <v>276.77999999999997</v>
      </c>
      <c r="G261" s="16">
        <f t="shared" si="14"/>
        <v>1660.68</v>
      </c>
      <c r="H261" s="4"/>
      <c r="I261" s="18" t="e">
        <f>#REF!*18%</f>
        <v>#REF!</v>
      </c>
      <c r="J261" s="18" t="e">
        <f>#REF!*1.18</f>
        <v>#REF!</v>
      </c>
      <c r="K261" s="42">
        <v>1.0549999999999999</v>
      </c>
      <c r="L261" s="4"/>
      <c r="M261" s="4"/>
      <c r="N261" s="4"/>
      <c r="O261" s="4"/>
      <c r="Y261" s="96">
        <f>1383.9/1.05</f>
        <v>1318</v>
      </c>
    </row>
    <row r="262" spans="1:63" s="19" customFormat="1" ht="38.25" customHeight="1" x14ac:dyDescent="0.2">
      <c r="A262" s="94">
        <v>5</v>
      </c>
      <c r="B262" s="95" t="s">
        <v>139</v>
      </c>
      <c r="C262" s="353" t="s">
        <v>138</v>
      </c>
      <c r="D262" s="353"/>
      <c r="E262" s="78">
        <f>1235.73*1.05</f>
        <v>1297.52</v>
      </c>
      <c r="F262" s="16">
        <f t="shared" si="13"/>
        <v>259.5</v>
      </c>
      <c r="G262" s="16">
        <f t="shared" si="14"/>
        <v>1557.02</v>
      </c>
      <c r="H262" s="4"/>
      <c r="I262" s="18" t="e">
        <f>#REF!*18%</f>
        <v>#REF!</v>
      </c>
      <c r="J262" s="18" t="e">
        <f>#REF!*1.18</f>
        <v>#REF!</v>
      </c>
      <c r="K262" s="42">
        <v>1.0549999999999999</v>
      </c>
      <c r="L262" s="4"/>
      <c r="M262" s="4"/>
      <c r="N262" s="4"/>
      <c r="O262" s="4"/>
      <c r="Y262" s="96">
        <f>1297.52/1.05</f>
        <v>1235.73</v>
      </c>
    </row>
    <row r="263" spans="1:63" s="19" customFormat="1" ht="25.5" customHeight="1" x14ac:dyDescent="0.2">
      <c r="A263" s="94">
        <v>6</v>
      </c>
      <c r="B263" s="95" t="s">
        <v>140</v>
      </c>
      <c r="C263" s="353" t="s">
        <v>135</v>
      </c>
      <c r="D263" s="353"/>
      <c r="E263" s="78">
        <f>1112.33*1.05</f>
        <v>1167.95</v>
      </c>
      <c r="F263" s="16">
        <f t="shared" si="13"/>
        <v>233.59</v>
      </c>
      <c r="G263" s="16">
        <f t="shared" si="14"/>
        <v>1401.54</v>
      </c>
      <c r="H263" s="4"/>
      <c r="I263" s="18" t="e">
        <f>#REF!*18%</f>
        <v>#REF!</v>
      </c>
      <c r="J263" s="18" t="e">
        <f>#REF!*1.18</f>
        <v>#REF!</v>
      </c>
      <c r="K263" s="42">
        <v>1.0549999999999999</v>
      </c>
      <c r="L263" s="4"/>
      <c r="M263" s="4"/>
      <c r="N263" s="4"/>
      <c r="O263" s="4"/>
      <c r="Y263" s="96">
        <f>1167.95/1.05</f>
        <v>1112.33</v>
      </c>
    </row>
    <row r="264" spans="1:63" s="19" customFormat="1" ht="29.25" customHeight="1" x14ac:dyDescent="0.2">
      <c r="A264" s="94">
        <v>7</v>
      </c>
      <c r="B264" s="95" t="s">
        <v>141</v>
      </c>
      <c r="C264" s="363" t="s">
        <v>142</v>
      </c>
      <c r="D264" s="363"/>
      <c r="E264" s="78">
        <f>1359.13*1.05</f>
        <v>1427.09</v>
      </c>
      <c r="F264" s="16">
        <f t="shared" si="13"/>
        <v>285.42</v>
      </c>
      <c r="G264" s="16">
        <f t="shared" si="14"/>
        <v>1712.51</v>
      </c>
      <c r="H264" s="4"/>
      <c r="I264" s="18" t="e">
        <f>#REF!*18%</f>
        <v>#REF!</v>
      </c>
      <c r="J264" s="18" t="e">
        <f>#REF!*1.18</f>
        <v>#REF!</v>
      </c>
      <c r="K264" s="42">
        <v>1.0549999999999999</v>
      </c>
      <c r="L264" s="4"/>
      <c r="M264" s="4"/>
      <c r="N264" s="4"/>
      <c r="O264" s="4"/>
      <c r="Y264" s="96">
        <f>1427.09/1.05</f>
        <v>1359.13</v>
      </c>
    </row>
    <row r="265" spans="1:63" s="19" customFormat="1" ht="11.25" customHeight="1" x14ac:dyDescent="0.2">
      <c r="A265" s="97"/>
      <c r="B265" s="98"/>
      <c r="C265" s="83"/>
      <c r="D265" s="83"/>
      <c r="E265" s="83"/>
      <c r="F265" s="83"/>
      <c r="G265" s="99"/>
      <c r="H265" s="4"/>
      <c r="I265" s="18"/>
      <c r="J265" s="18"/>
      <c r="K265" s="42"/>
      <c r="L265" s="4"/>
      <c r="M265" s="4"/>
      <c r="N265" s="4"/>
      <c r="O265" s="4"/>
    </row>
    <row r="266" spans="1:63" s="100" customFormat="1" ht="18.75" customHeight="1" x14ac:dyDescent="0.2">
      <c r="A266" s="340" t="s">
        <v>143</v>
      </c>
      <c r="B266" s="340"/>
      <c r="C266" s="340"/>
      <c r="D266" s="340"/>
      <c r="E266" s="340"/>
      <c r="F266" s="340"/>
      <c r="G266" s="340"/>
      <c r="H266" s="69"/>
      <c r="I266" s="18">
        <f>E266*18%</f>
        <v>0</v>
      </c>
      <c r="J266" s="18">
        <f>E266*1.18</f>
        <v>0</v>
      </c>
      <c r="K266" s="69"/>
      <c r="L266" s="69"/>
      <c r="M266" s="69"/>
      <c r="N266" s="69"/>
      <c r="O266" s="69"/>
    </row>
    <row r="267" spans="1:63" s="100" customFormat="1" ht="12" customHeight="1" x14ac:dyDescent="0.25">
      <c r="A267" s="101"/>
      <c r="B267" s="102"/>
      <c r="C267" s="309"/>
      <c r="D267" s="103"/>
      <c r="E267" s="69"/>
      <c r="F267" s="104"/>
      <c r="G267" s="105"/>
      <c r="H267" s="69"/>
      <c r="I267" s="18">
        <f>E267*18%</f>
        <v>0</v>
      </c>
      <c r="J267" s="18">
        <f>E267*1.18</f>
        <v>0</v>
      </c>
      <c r="K267" s="69"/>
      <c r="L267" s="69"/>
      <c r="M267" s="69"/>
      <c r="N267" s="69"/>
      <c r="O267" s="69"/>
    </row>
    <row r="268" spans="1:63" s="100" customFormat="1" ht="72" customHeight="1" x14ac:dyDescent="0.2">
      <c r="A268" s="296" t="s">
        <v>3</v>
      </c>
      <c r="B268" s="296" t="s">
        <v>4</v>
      </c>
      <c r="C268" s="296" t="s">
        <v>144</v>
      </c>
      <c r="D268" s="296" t="s">
        <v>6</v>
      </c>
      <c r="E268" s="296" t="s">
        <v>7</v>
      </c>
      <c r="F268" s="296" t="s">
        <v>145</v>
      </c>
      <c r="G268" s="296" t="s">
        <v>9</v>
      </c>
      <c r="H268" s="69"/>
      <c r="I268" s="18" t="e">
        <f>E268*18%</f>
        <v>#VALUE!</v>
      </c>
      <c r="J268" s="18" t="e">
        <f>E268*1.18</f>
        <v>#VALUE!</v>
      </c>
      <c r="K268" s="69"/>
      <c r="L268" s="69"/>
      <c r="M268" s="69"/>
      <c r="N268" s="69"/>
      <c r="O268" s="69"/>
    </row>
    <row r="269" spans="1:63" s="100" customFormat="1" ht="13.5" thickBot="1" x14ac:dyDescent="0.25">
      <c r="A269" s="106">
        <v>1</v>
      </c>
      <c r="B269" s="106">
        <v>2</v>
      </c>
      <c r="C269" s="106">
        <v>3</v>
      </c>
      <c r="D269" s="106">
        <v>4</v>
      </c>
      <c r="E269" s="106">
        <v>5</v>
      </c>
      <c r="F269" s="297">
        <v>6</v>
      </c>
      <c r="G269" s="297">
        <v>7</v>
      </c>
      <c r="H269" s="69"/>
      <c r="I269" s="18">
        <f>E269*18%</f>
        <v>0.9</v>
      </c>
      <c r="J269" s="18">
        <f>E269*1.18</f>
        <v>5.9</v>
      </c>
      <c r="K269" s="69"/>
      <c r="L269" s="69"/>
      <c r="M269" s="69"/>
      <c r="N269" s="69"/>
      <c r="O269" s="69"/>
    </row>
    <row r="270" spans="1:63" s="51" customFormat="1" ht="24.75" customHeight="1" x14ac:dyDescent="0.2">
      <c r="A270" s="361" t="s">
        <v>11</v>
      </c>
      <c r="B270" s="360" t="s">
        <v>146</v>
      </c>
      <c r="C270" s="298" t="s">
        <v>147</v>
      </c>
      <c r="D270" s="108" t="s">
        <v>148</v>
      </c>
      <c r="E270" s="295">
        <f>643.84*1.05</f>
        <v>676.03</v>
      </c>
      <c r="F270" s="16">
        <f t="shared" ref="F270:F329" si="15">E270*20%</f>
        <v>135.21</v>
      </c>
      <c r="G270" s="295">
        <f t="shared" ref="G270:G329" si="16">E270+F270</f>
        <v>811.24</v>
      </c>
      <c r="H270" s="109"/>
      <c r="I270" s="26" t="e">
        <f>#REF!*18%</f>
        <v>#REF!</v>
      </c>
      <c r="J270" s="26" t="e">
        <f>#REF!*1.18</f>
        <v>#REF!</v>
      </c>
      <c r="K270" s="44">
        <v>1.0549999999999999</v>
      </c>
      <c r="L270" s="109"/>
      <c r="M270" s="109"/>
      <c r="N270" s="109"/>
      <c r="O270" s="109"/>
      <c r="P270" s="110"/>
      <c r="Q270" s="110"/>
      <c r="R270" s="110"/>
      <c r="S270" s="111"/>
      <c r="Y270" s="112">
        <f>(469*1.04)*1.2</f>
        <v>585.30999999999995</v>
      </c>
      <c r="BI270" s="113">
        <f>585.31*1.1</f>
        <v>643.84</v>
      </c>
      <c r="BJ270" s="114">
        <f>BI270-E270</f>
        <v>-32.19</v>
      </c>
      <c r="BK270" s="51">
        <f>(10+100)/100</f>
        <v>1.1000000000000001</v>
      </c>
    </row>
    <row r="271" spans="1:63" s="51" customFormat="1" ht="21.75" customHeight="1" x14ac:dyDescent="0.2">
      <c r="A271" s="361"/>
      <c r="B271" s="360"/>
      <c r="C271" s="298" t="s">
        <v>149</v>
      </c>
      <c r="D271" s="108" t="s">
        <v>148</v>
      </c>
      <c r="E271" s="295">
        <f>669.65*1.05</f>
        <v>703.13</v>
      </c>
      <c r="F271" s="16">
        <f t="shared" si="15"/>
        <v>140.63</v>
      </c>
      <c r="G271" s="295">
        <f t="shared" si="16"/>
        <v>843.76</v>
      </c>
      <c r="H271" s="47"/>
      <c r="I271" s="30" t="e">
        <f>#REF!*18%</f>
        <v>#REF!</v>
      </c>
      <c r="J271" s="30" t="e">
        <f>#REF!*1.18</f>
        <v>#REF!</v>
      </c>
      <c r="K271" s="58">
        <v>1.0549999999999999</v>
      </c>
      <c r="L271" s="47"/>
      <c r="M271" s="47"/>
      <c r="N271" s="47"/>
      <c r="O271" s="47"/>
      <c r="P271" s="48"/>
      <c r="Q271" s="48"/>
      <c r="R271" s="48"/>
      <c r="S271" s="49"/>
      <c r="Y271" s="115">
        <f>(487.8*1.04)*1.2</f>
        <v>608.77</v>
      </c>
      <c r="BI271" s="162">
        <f>608.77*1.1</f>
        <v>669.65</v>
      </c>
      <c r="BJ271" s="114">
        <f t="shared" ref="BJ271:BJ329" si="17">BI271-E271</f>
        <v>-33.479999999999997</v>
      </c>
    </row>
    <row r="272" spans="1:63" s="51" customFormat="1" ht="21.75" customHeight="1" x14ac:dyDescent="0.2">
      <c r="A272" s="361"/>
      <c r="B272" s="360"/>
      <c r="C272" s="298" t="s">
        <v>150</v>
      </c>
      <c r="D272" s="108" t="s">
        <v>148</v>
      </c>
      <c r="E272" s="295">
        <f>686.51*1.05</f>
        <v>720.84</v>
      </c>
      <c r="F272" s="16">
        <f t="shared" si="15"/>
        <v>144.16999999999999</v>
      </c>
      <c r="G272" s="295">
        <f t="shared" si="16"/>
        <v>865.01</v>
      </c>
      <c r="H272" s="47"/>
      <c r="I272" s="30" t="e">
        <f>#REF!*18%</f>
        <v>#REF!</v>
      </c>
      <c r="J272" s="30" t="e">
        <f>#REF!*1.18</f>
        <v>#REF!</v>
      </c>
      <c r="K272" s="58">
        <v>1.0549999999999999</v>
      </c>
      <c r="L272" s="47"/>
      <c r="M272" s="47"/>
      <c r="N272" s="47"/>
      <c r="O272" s="47"/>
      <c r="P272" s="48"/>
      <c r="Q272" s="48"/>
      <c r="R272" s="48"/>
      <c r="S272" s="49"/>
      <c r="Y272" s="115">
        <f>(500.08*1.04)*1.2</f>
        <v>624.1</v>
      </c>
      <c r="BI272" s="162">
        <f>624.1*1.1</f>
        <v>686.51</v>
      </c>
      <c r="BJ272" s="114">
        <f t="shared" si="17"/>
        <v>-34.33</v>
      </c>
    </row>
    <row r="273" spans="1:62" s="51" customFormat="1" ht="24.75" customHeight="1" thickBot="1" x14ac:dyDescent="0.25">
      <c r="A273" s="361"/>
      <c r="B273" s="360"/>
      <c r="C273" s="298" t="s">
        <v>151</v>
      </c>
      <c r="D273" s="108" t="s">
        <v>148</v>
      </c>
      <c r="E273" s="295">
        <f>738.18*1.05</f>
        <v>775.09</v>
      </c>
      <c r="F273" s="16">
        <f t="shared" si="15"/>
        <v>155.02000000000001</v>
      </c>
      <c r="G273" s="295">
        <f t="shared" si="16"/>
        <v>930.11</v>
      </c>
      <c r="H273" s="116"/>
      <c r="I273" s="32" t="e">
        <f>#REF!*18%</f>
        <v>#REF!</v>
      </c>
      <c r="J273" s="32" t="e">
        <f>#REF!*1.18</f>
        <v>#REF!</v>
      </c>
      <c r="K273" s="117">
        <v>1.0549999999999999</v>
      </c>
      <c r="L273" s="116"/>
      <c r="M273" s="116"/>
      <c r="N273" s="116"/>
      <c r="O273" s="116"/>
      <c r="P273" s="118"/>
      <c r="Q273" s="118"/>
      <c r="R273" s="118"/>
      <c r="S273" s="119"/>
      <c r="Y273" s="120">
        <f>(537.72*1.04)*1.2</f>
        <v>671.07</v>
      </c>
      <c r="BI273" s="121">
        <f>671.07*1.1</f>
        <v>738.18</v>
      </c>
      <c r="BJ273" s="114">
        <f t="shared" si="17"/>
        <v>-36.909999999999997</v>
      </c>
    </row>
    <row r="274" spans="1:62" s="51" customFormat="1" ht="18.75" customHeight="1" x14ac:dyDescent="0.2">
      <c r="A274" s="361" t="s">
        <v>23</v>
      </c>
      <c r="B274" s="360" t="s">
        <v>152</v>
      </c>
      <c r="C274" s="298" t="s">
        <v>147</v>
      </c>
      <c r="D274" s="108" t="s">
        <v>148</v>
      </c>
      <c r="E274" s="295">
        <f>935.67*1.05</f>
        <v>982.45</v>
      </c>
      <c r="F274" s="16">
        <f t="shared" si="15"/>
        <v>196.49</v>
      </c>
      <c r="G274" s="295">
        <f t="shared" si="16"/>
        <v>1178.94</v>
      </c>
      <c r="H274" s="69"/>
      <c r="I274" s="18" t="e">
        <f>#REF!*18%</f>
        <v>#REF!</v>
      </c>
      <c r="J274" s="18" t="e">
        <f>#REF!*1.18</f>
        <v>#REF!</v>
      </c>
      <c r="K274" s="42">
        <v>1.0549999999999999</v>
      </c>
      <c r="L274" s="69"/>
      <c r="M274" s="69"/>
      <c r="N274" s="69"/>
      <c r="O274" s="69"/>
      <c r="Y274" s="122">
        <f>(681.58*1.04)*1.2</f>
        <v>850.61</v>
      </c>
      <c r="BI274" s="113">
        <f>850.61*1.1</f>
        <v>935.67</v>
      </c>
      <c r="BJ274" s="114">
        <f t="shared" si="17"/>
        <v>-46.78</v>
      </c>
    </row>
    <row r="275" spans="1:62" s="51" customFormat="1" ht="24.75" customHeight="1" x14ac:dyDescent="0.2">
      <c r="A275" s="361"/>
      <c r="B275" s="360"/>
      <c r="C275" s="298" t="s">
        <v>153</v>
      </c>
      <c r="D275" s="108" t="s">
        <v>148</v>
      </c>
      <c r="E275" s="295">
        <f>987.21*1.05</f>
        <v>1036.57</v>
      </c>
      <c r="F275" s="16">
        <f t="shared" si="15"/>
        <v>207.31</v>
      </c>
      <c r="G275" s="295">
        <f t="shared" si="16"/>
        <v>1243.8800000000001</v>
      </c>
      <c r="H275" s="69"/>
      <c r="I275" s="18" t="e">
        <f>#REF!*18%</f>
        <v>#REF!</v>
      </c>
      <c r="J275" s="18" t="e">
        <f>#REF!*1.18</f>
        <v>#REF!</v>
      </c>
      <c r="K275" s="42">
        <v>1.0549999999999999</v>
      </c>
      <c r="L275" s="69"/>
      <c r="M275" s="69"/>
      <c r="N275" s="69"/>
      <c r="O275" s="69"/>
      <c r="Y275" s="115">
        <f>(719.12*1.04)*1.2</f>
        <v>897.46</v>
      </c>
      <c r="BI275" s="162">
        <f>897.46*1.1</f>
        <v>987.21</v>
      </c>
      <c r="BJ275" s="114">
        <f t="shared" si="17"/>
        <v>-49.36</v>
      </c>
    </row>
    <row r="276" spans="1:62" s="51" customFormat="1" ht="27.75" customHeight="1" x14ac:dyDescent="0.2">
      <c r="A276" s="361"/>
      <c r="B276" s="360"/>
      <c r="C276" s="298" t="s">
        <v>150</v>
      </c>
      <c r="D276" s="108" t="s">
        <v>148</v>
      </c>
      <c r="E276" s="295">
        <f>1030.34*1.05</f>
        <v>1081.8599999999999</v>
      </c>
      <c r="F276" s="16">
        <f t="shared" si="15"/>
        <v>216.37</v>
      </c>
      <c r="G276" s="295">
        <f t="shared" si="16"/>
        <v>1298.23</v>
      </c>
      <c r="H276" s="69"/>
      <c r="I276" s="18" t="e">
        <f>#REF!*18%</f>
        <v>#REF!</v>
      </c>
      <c r="J276" s="18" t="e">
        <f>#REF!*1.18</f>
        <v>#REF!</v>
      </c>
      <c r="K276" s="42">
        <v>1.0549999999999999</v>
      </c>
      <c r="L276" s="69"/>
      <c r="M276" s="69"/>
      <c r="N276" s="69"/>
      <c r="O276" s="69"/>
      <c r="Y276" s="115">
        <f>(750.54*1.04)*1.2</f>
        <v>936.67</v>
      </c>
      <c r="BI276" s="162">
        <f>936.67*1.1</f>
        <v>1030.3399999999999</v>
      </c>
      <c r="BJ276" s="114">
        <f t="shared" si="17"/>
        <v>-51.52</v>
      </c>
    </row>
    <row r="277" spans="1:62" s="51" customFormat="1" ht="25.5" customHeight="1" thickBot="1" x14ac:dyDescent="0.25">
      <c r="A277" s="361"/>
      <c r="B277" s="360"/>
      <c r="C277" s="298" t="s">
        <v>151</v>
      </c>
      <c r="D277" s="108" t="s">
        <v>148</v>
      </c>
      <c r="E277" s="295">
        <f>1115.73*1.05</f>
        <v>1171.52</v>
      </c>
      <c r="F277" s="16">
        <f t="shared" si="15"/>
        <v>234.3</v>
      </c>
      <c r="G277" s="295">
        <f t="shared" si="16"/>
        <v>1405.82</v>
      </c>
      <c r="H277" s="69"/>
      <c r="I277" s="18" t="e">
        <f>#REF!*18%</f>
        <v>#REF!</v>
      </c>
      <c r="J277" s="18" t="e">
        <f>#REF!*1.18</f>
        <v>#REF!</v>
      </c>
      <c r="K277" s="42">
        <v>1.0549999999999999</v>
      </c>
      <c r="L277" s="69"/>
      <c r="M277" s="69"/>
      <c r="N277" s="69"/>
      <c r="O277" s="69"/>
      <c r="Y277" s="123">
        <f>(812.74*1.04)*1.2</f>
        <v>1014.3</v>
      </c>
      <c r="BI277" s="121">
        <f>1014.3*1.1</f>
        <v>1115.73</v>
      </c>
      <c r="BJ277" s="114">
        <f t="shared" si="17"/>
        <v>-55.79</v>
      </c>
    </row>
    <row r="278" spans="1:62" s="51" customFormat="1" ht="24" customHeight="1" x14ac:dyDescent="0.2">
      <c r="A278" s="361" t="s">
        <v>26</v>
      </c>
      <c r="B278" s="360" t="s">
        <v>154</v>
      </c>
      <c r="C278" s="298" t="s">
        <v>147</v>
      </c>
      <c r="D278" s="108" t="s">
        <v>148</v>
      </c>
      <c r="E278" s="295">
        <f>661.22*1.05</f>
        <v>694.28</v>
      </c>
      <c r="F278" s="16">
        <f t="shared" si="15"/>
        <v>138.86000000000001</v>
      </c>
      <c r="G278" s="295">
        <f t="shared" si="16"/>
        <v>833.14</v>
      </c>
      <c r="H278" s="69"/>
      <c r="I278" s="18" t="e">
        <f>#REF!*18%</f>
        <v>#REF!</v>
      </c>
      <c r="J278" s="18" t="e">
        <f>#REF!*1.18</f>
        <v>#REF!</v>
      </c>
      <c r="K278" s="42">
        <v>1.0549999999999999</v>
      </c>
      <c r="L278" s="69"/>
      <c r="M278" s="69"/>
      <c r="N278" s="69"/>
      <c r="O278" s="69"/>
      <c r="Y278" s="112">
        <f>(481.66*1.04)*1.2</f>
        <v>601.11</v>
      </c>
      <c r="BI278" s="113">
        <f>601.11*1.1</f>
        <v>661.22</v>
      </c>
      <c r="BJ278" s="114">
        <f t="shared" si="17"/>
        <v>-33.06</v>
      </c>
    </row>
    <row r="279" spans="1:62" s="51" customFormat="1" ht="27" customHeight="1" x14ac:dyDescent="0.2">
      <c r="A279" s="361"/>
      <c r="B279" s="360"/>
      <c r="C279" s="298" t="s">
        <v>153</v>
      </c>
      <c r="D279" s="108" t="s">
        <v>148</v>
      </c>
      <c r="E279" s="295">
        <f>686.51*1.05</f>
        <v>720.84</v>
      </c>
      <c r="F279" s="16">
        <f t="shared" si="15"/>
        <v>144.16999999999999</v>
      </c>
      <c r="G279" s="295">
        <f t="shared" si="16"/>
        <v>865.01</v>
      </c>
      <c r="H279" s="69"/>
      <c r="I279" s="18" t="e">
        <f>#REF!*18%</f>
        <v>#REF!</v>
      </c>
      <c r="J279" s="18" t="e">
        <f>#REF!*1.18</f>
        <v>#REF!</v>
      </c>
      <c r="K279" s="42">
        <v>1.0549999999999999</v>
      </c>
      <c r="L279" s="69"/>
      <c r="M279" s="69"/>
      <c r="N279" s="69"/>
      <c r="O279" s="69"/>
      <c r="Y279" s="115">
        <f>(500.08*1.04)*1.2</f>
        <v>624.1</v>
      </c>
      <c r="BI279" s="162">
        <f>624.1*1.1</f>
        <v>686.51</v>
      </c>
      <c r="BJ279" s="114">
        <f t="shared" si="17"/>
        <v>-34.33</v>
      </c>
    </row>
    <row r="280" spans="1:62" s="51" customFormat="1" ht="24.75" customHeight="1" x14ac:dyDescent="0.2">
      <c r="A280" s="361"/>
      <c r="B280" s="360"/>
      <c r="C280" s="298" t="s">
        <v>150</v>
      </c>
      <c r="D280" s="108" t="s">
        <v>148</v>
      </c>
      <c r="E280" s="295">
        <f>729.78*1.05</f>
        <v>766.27</v>
      </c>
      <c r="F280" s="16">
        <f t="shared" si="15"/>
        <v>153.25</v>
      </c>
      <c r="G280" s="295">
        <f t="shared" si="16"/>
        <v>919.52</v>
      </c>
      <c r="H280" s="69"/>
      <c r="I280" s="18" t="e">
        <f>#REF!*18%</f>
        <v>#REF!</v>
      </c>
      <c r="J280" s="18" t="e">
        <f>#REF!*1.18</f>
        <v>#REF!</v>
      </c>
      <c r="K280" s="42">
        <v>1.0549999999999999</v>
      </c>
      <c r="L280" s="69"/>
      <c r="M280" s="69"/>
      <c r="N280" s="69"/>
      <c r="O280" s="69"/>
      <c r="Y280" s="115">
        <f>(531.6*1.04)*1.2</f>
        <v>663.44</v>
      </c>
      <c r="BI280" s="162">
        <f>663.44*1.1</f>
        <v>729.78</v>
      </c>
      <c r="BJ280" s="114">
        <f t="shared" si="17"/>
        <v>-36.49</v>
      </c>
    </row>
    <row r="281" spans="1:62" s="51" customFormat="1" ht="25.5" customHeight="1" thickBot="1" x14ac:dyDescent="0.25">
      <c r="A281" s="361"/>
      <c r="B281" s="360"/>
      <c r="C281" s="298" t="s">
        <v>151</v>
      </c>
      <c r="D281" s="108" t="s">
        <v>148</v>
      </c>
      <c r="E281" s="295">
        <f>763.5*1.05</f>
        <v>801.68</v>
      </c>
      <c r="F281" s="16">
        <f t="shared" si="15"/>
        <v>160.34</v>
      </c>
      <c r="G281" s="295">
        <f t="shared" si="16"/>
        <v>962.02</v>
      </c>
      <c r="H281" s="69"/>
      <c r="I281" s="18" t="e">
        <f>#REF!*18%</f>
        <v>#REF!</v>
      </c>
      <c r="J281" s="18" t="e">
        <f>#REF!*1.18</f>
        <v>#REF!</v>
      </c>
      <c r="K281" s="42">
        <v>1.0549999999999999</v>
      </c>
      <c r="L281" s="69"/>
      <c r="M281" s="69"/>
      <c r="N281" s="69"/>
      <c r="O281" s="69"/>
      <c r="Y281" s="123">
        <f>(556.16*1.04)*1.2</f>
        <v>694.09</v>
      </c>
      <c r="Z281" s="124"/>
      <c r="BI281" s="125">
        <f>694.09*1.1</f>
        <v>763.5</v>
      </c>
      <c r="BJ281" s="114">
        <f t="shared" si="17"/>
        <v>-38.18</v>
      </c>
    </row>
    <row r="282" spans="1:62" s="51" customFormat="1" ht="19.5" customHeight="1" x14ac:dyDescent="0.2">
      <c r="A282" s="361" t="s">
        <v>28</v>
      </c>
      <c r="B282" s="360" t="s">
        <v>155</v>
      </c>
      <c r="C282" s="353" t="s">
        <v>147</v>
      </c>
      <c r="D282" s="108" t="s">
        <v>148</v>
      </c>
      <c r="E282" s="295">
        <f>970.02*1.05</f>
        <v>1018.52</v>
      </c>
      <c r="F282" s="16">
        <f t="shared" si="15"/>
        <v>203.7</v>
      </c>
      <c r="G282" s="295">
        <f t="shared" si="16"/>
        <v>1222.22</v>
      </c>
      <c r="H282" s="69"/>
      <c r="I282" s="18" t="e">
        <f>#REF!*18%</f>
        <v>#REF!</v>
      </c>
      <c r="J282" s="18" t="e">
        <f>#REF!*1.18</f>
        <v>#REF!</v>
      </c>
      <c r="K282" s="42">
        <v>1.0549999999999999</v>
      </c>
      <c r="L282" s="47"/>
      <c r="M282" s="69"/>
      <c r="N282" s="69"/>
      <c r="O282" s="69"/>
      <c r="Y282" s="112">
        <f>(706.6*1.04)*1.2</f>
        <v>881.84</v>
      </c>
      <c r="BI282" s="113">
        <f>881.84*1.1</f>
        <v>970.02</v>
      </c>
      <c r="BJ282" s="114">
        <f t="shared" si="17"/>
        <v>-48.5</v>
      </c>
    </row>
    <row r="283" spans="1:62" s="51" customFormat="1" ht="0.75" customHeight="1" x14ac:dyDescent="0.2">
      <c r="A283" s="361"/>
      <c r="B283" s="360"/>
      <c r="C283" s="353"/>
      <c r="D283" s="108" t="s">
        <v>148</v>
      </c>
      <c r="E283" s="295">
        <f>1021.53*1.05</f>
        <v>1072.6099999999999</v>
      </c>
      <c r="F283" s="16">
        <f t="shared" si="15"/>
        <v>214.52</v>
      </c>
      <c r="G283" s="295">
        <f t="shared" si="16"/>
        <v>1287.1300000000001</v>
      </c>
      <c r="H283" s="69"/>
      <c r="I283" s="18" t="e">
        <f>#REF!*18%</f>
        <v>#REF!</v>
      </c>
      <c r="J283" s="18" t="e">
        <f>#REF!*1.18</f>
        <v>#REF!</v>
      </c>
      <c r="K283" s="42">
        <v>1.0549999999999999</v>
      </c>
      <c r="L283" s="69"/>
      <c r="M283" s="69"/>
      <c r="N283" s="69"/>
      <c r="O283" s="69"/>
      <c r="Y283" s="115" t="e">
        <f>#REF!*AE283</f>
        <v>#REF!</v>
      </c>
      <c r="BI283" s="162">
        <f>928.66*1.1</f>
        <v>1021.53</v>
      </c>
      <c r="BJ283" s="114">
        <f t="shared" si="17"/>
        <v>-51.08</v>
      </c>
    </row>
    <row r="284" spans="1:62" s="51" customFormat="1" ht="19.5" customHeight="1" x14ac:dyDescent="0.2">
      <c r="A284" s="361"/>
      <c r="B284" s="360"/>
      <c r="C284" s="298" t="s">
        <v>153</v>
      </c>
      <c r="D284" s="108" t="s">
        <v>148</v>
      </c>
      <c r="E284" s="295">
        <f>1021.53*1.05</f>
        <v>1072.6099999999999</v>
      </c>
      <c r="F284" s="16">
        <f t="shared" si="15"/>
        <v>214.52</v>
      </c>
      <c r="G284" s="295">
        <f t="shared" si="16"/>
        <v>1287.1300000000001</v>
      </c>
      <c r="H284" s="69"/>
      <c r="I284" s="18" t="e">
        <f>#REF!*18%</f>
        <v>#REF!</v>
      </c>
      <c r="J284" s="18" t="e">
        <f>#REF!*1.18</f>
        <v>#REF!</v>
      </c>
      <c r="K284" s="42">
        <v>1.0549999999999999</v>
      </c>
      <c r="L284" s="126"/>
      <c r="M284" s="69"/>
      <c r="N284" s="69"/>
      <c r="O284" s="69"/>
      <c r="Y284" s="115">
        <f>(744.12*1.04)*1.2</f>
        <v>928.66</v>
      </c>
      <c r="BI284" s="162">
        <f>928.66*1.1</f>
        <v>1021.53</v>
      </c>
      <c r="BJ284" s="114">
        <f t="shared" si="17"/>
        <v>-51.08</v>
      </c>
    </row>
    <row r="285" spans="1:62" s="51" customFormat="1" ht="21.75" customHeight="1" x14ac:dyDescent="0.2">
      <c r="A285" s="361"/>
      <c r="B285" s="360"/>
      <c r="C285" s="298" t="s">
        <v>150</v>
      </c>
      <c r="D285" s="108" t="s">
        <v>148</v>
      </c>
      <c r="E285" s="295">
        <f>1107.33*1.05</f>
        <v>1162.7</v>
      </c>
      <c r="F285" s="16">
        <f t="shared" si="15"/>
        <v>232.54</v>
      </c>
      <c r="G285" s="295">
        <f t="shared" si="16"/>
        <v>1395.24</v>
      </c>
      <c r="H285" s="69"/>
      <c r="I285" s="18" t="e">
        <f>#REF!*18%</f>
        <v>#REF!</v>
      </c>
      <c r="J285" s="18" t="e">
        <f>#REF!*1.18</f>
        <v>#REF!</v>
      </c>
      <c r="K285" s="42">
        <v>1.0549999999999999</v>
      </c>
      <c r="L285" s="69"/>
      <c r="M285" s="69"/>
      <c r="N285" s="69"/>
      <c r="O285" s="69"/>
      <c r="Y285" s="115">
        <f>(806.62*1.04)*1.2</f>
        <v>1006.66</v>
      </c>
      <c r="BI285" s="162">
        <f>1006.66*1.1</f>
        <v>1107.33</v>
      </c>
      <c r="BJ285" s="114">
        <f t="shared" si="17"/>
        <v>-55.37</v>
      </c>
    </row>
    <row r="286" spans="1:62" s="51" customFormat="1" ht="26.25" customHeight="1" thickBot="1" x14ac:dyDescent="0.25">
      <c r="A286" s="361"/>
      <c r="B286" s="360"/>
      <c r="C286" s="298" t="s">
        <v>151</v>
      </c>
      <c r="D286" s="108" t="s">
        <v>148</v>
      </c>
      <c r="E286" s="295">
        <f>1175.86*1.05</f>
        <v>1234.6500000000001</v>
      </c>
      <c r="F286" s="16">
        <f t="shared" si="15"/>
        <v>246.93</v>
      </c>
      <c r="G286" s="295">
        <f t="shared" si="16"/>
        <v>1481.58</v>
      </c>
      <c r="H286" s="69"/>
      <c r="I286" s="18" t="e">
        <f>#REF!*18%</f>
        <v>#REF!</v>
      </c>
      <c r="J286" s="18" t="e">
        <f>#REF!*1.18</f>
        <v>#REF!</v>
      </c>
      <c r="K286" s="42">
        <v>1.0549999999999999</v>
      </c>
      <c r="L286" s="69"/>
      <c r="M286" s="69"/>
      <c r="N286" s="69"/>
      <c r="O286" s="69"/>
      <c r="Y286" s="127">
        <f>(856.54*1.04)*1.2</f>
        <v>1068.96</v>
      </c>
      <c r="BI286" s="128">
        <f>1068.96*1.1</f>
        <v>1175.8599999999999</v>
      </c>
      <c r="BJ286" s="114">
        <f t="shared" si="17"/>
        <v>-58.79</v>
      </c>
    </row>
    <row r="287" spans="1:62" s="51" customFormat="1" ht="15.6" customHeight="1" x14ac:dyDescent="0.2">
      <c r="A287" s="361" t="s">
        <v>30</v>
      </c>
      <c r="B287" s="360" t="s">
        <v>156</v>
      </c>
      <c r="C287" s="298" t="s">
        <v>147</v>
      </c>
      <c r="D287" s="108" t="s">
        <v>148</v>
      </c>
      <c r="E287" s="295">
        <f>574.9*1.05</f>
        <v>603.65</v>
      </c>
      <c r="F287" s="16">
        <f t="shared" si="15"/>
        <v>120.73</v>
      </c>
      <c r="G287" s="295">
        <f t="shared" si="16"/>
        <v>724.38</v>
      </c>
      <c r="H287" s="69"/>
      <c r="I287" s="18" t="e">
        <f>#REF!*18%</f>
        <v>#REF!</v>
      </c>
      <c r="J287" s="18" t="e">
        <f>#REF!*1.18</f>
        <v>#REF!</v>
      </c>
      <c r="K287" s="42">
        <v>1.0549999999999999</v>
      </c>
      <c r="L287" s="69"/>
      <c r="M287" s="69"/>
      <c r="N287" s="69"/>
      <c r="O287" s="69"/>
      <c r="Y287" s="112">
        <f>(418.78*1.04)*1.2</f>
        <v>522.64</v>
      </c>
      <c r="BI287" s="113">
        <f>522.64*1.1</f>
        <v>574.9</v>
      </c>
      <c r="BJ287" s="114">
        <f t="shared" si="17"/>
        <v>-28.75</v>
      </c>
    </row>
    <row r="288" spans="1:62" s="51" customFormat="1" ht="23.25" customHeight="1" x14ac:dyDescent="0.2">
      <c r="A288" s="361"/>
      <c r="B288" s="360"/>
      <c r="C288" s="298" t="s">
        <v>157</v>
      </c>
      <c r="D288" s="108" t="s">
        <v>148</v>
      </c>
      <c r="E288" s="295">
        <f>626.41*1.05</f>
        <v>657.73</v>
      </c>
      <c r="F288" s="16">
        <f t="shared" si="15"/>
        <v>131.55000000000001</v>
      </c>
      <c r="G288" s="295">
        <f t="shared" si="16"/>
        <v>789.28</v>
      </c>
      <c r="H288" s="69"/>
      <c r="I288" s="18" t="e">
        <f>#REF!*18%</f>
        <v>#REF!</v>
      </c>
      <c r="J288" s="18" t="e">
        <f>#REF!*1.18</f>
        <v>#REF!</v>
      </c>
      <c r="K288" s="42">
        <v>1.0549999999999999</v>
      </c>
      <c r="L288" s="69"/>
      <c r="M288" s="69"/>
      <c r="N288" s="69"/>
      <c r="O288" s="69"/>
      <c r="Y288" s="115">
        <f>(456.3*1.04)*1.2</f>
        <v>569.46</v>
      </c>
      <c r="BI288" s="162">
        <f>569.46*1.1</f>
        <v>626.41</v>
      </c>
      <c r="BJ288" s="114">
        <f t="shared" si="17"/>
        <v>-31.32</v>
      </c>
    </row>
    <row r="289" spans="1:62" s="51" customFormat="1" ht="22.5" customHeight="1" x14ac:dyDescent="0.2">
      <c r="A289" s="361"/>
      <c r="B289" s="360"/>
      <c r="C289" s="298" t="s">
        <v>158</v>
      </c>
      <c r="D289" s="108" t="s">
        <v>148</v>
      </c>
      <c r="E289" s="295">
        <f>652.8*1.05</f>
        <v>685.44</v>
      </c>
      <c r="F289" s="16">
        <f t="shared" si="15"/>
        <v>137.09</v>
      </c>
      <c r="G289" s="295">
        <f t="shared" si="16"/>
        <v>822.53</v>
      </c>
      <c r="H289" s="69"/>
      <c r="I289" s="18" t="e">
        <f>#REF!*18%</f>
        <v>#REF!</v>
      </c>
      <c r="J289" s="18" t="e">
        <f>#REF!*1.18</f>
        <v>#REF!</v>
      </c>
      <c r="K289" s="42">
        <v>1.0549999999999999</v>
      </c>
      <c r="L289" s="69"/>
      <c r="M289" s="69"/>
      <c r="N289" s="69"/>
      <c r="O289" s="69"/>
      <c r="Y289" s="115">
        <f>(475.52*1.04)*1.2</f>
        <v>593.45000000000005</v>
      </c>
      <c r="BI289" s="162">
        <f>593.45*1.1</f>
        <v>652.79999999999995</v>
      </c>
      <c r="BJ289" s="114">
        <f t="shared" si="17"/>
        <v>-32.64</v>
      </c>
    </row>
    <row r="290" spans="1:62" s="51" customFormat="1" ht="24" customHeight="1" thickBot="1" x14ac:dyDescent="0.25">
      <c r="A290" s="361"/>
      <c r="B290" s="360"/>
      <c r="C290" s="298" t="s">
        <v>151</v>
      </c>
      <c r="D290" s="108" t="s">
        <v>148</v>
      </c>
      <c r="E290" s="295">
        <f>686.51*1.05</f>
        <v>720.84</v>
      </c>
      <c r="F290" s="16">
        <f t="shared" si="15"/>
        <v>144.16999999999999</v>
      </c>
      <c r="G290" s="295">
        <f t="shared" si="16"/>
        <v>865.01</v>
      </c>
      <c r="H290" s="69"/>
      <c r="I290" s="18" t="e">
        <f>#REF!*18%</f>
        <v>#REF!</v>
      </c>
      <c r="J290" s="18" t="e">
        <f>#REF!*1.18</f>
        <v>#REF!</v>
      </c>
      <c r="K290" s="42">
        <v>1.0549999999999999</v>
      </c>
      <c r="L290" s="69"/>
      <c r="M290" s="69"/>
      <c r="N290" s="69"/>
      <c r="O290" s="69"/>
      <c r="Y290" s="120">
        <f>(500.08*1.04)*1.2</f>
        <v>624.1</v>
      </c>
      <c r="BI290" s="121">
        <f>624.1*1.1</f>
        <v>686.51</v>
      </c>
      <c r="BJ290" s="114">
        <f t="shared" si="17"/>
        <v>-34.33</v>
      </c>
    </row>
    <row r="291" spans="1:62" s="51" customFormat="1" ht="15.6" customHeight="1" x14ac:dyDescent="0.2">
      <c r="A291" s="361" t="s">
        <v>32</v>
      </c>
      <c r="B291" s="360" t="s">
        <v>159</v>
      </c>
      <c r="C291" s="298" t="s">
        <v>160</v>
      </c>
      <c r="D291" s="108" t="s">
        <v>148</v>
      </c>
      <c r="E291" s="295">
        <f>858.06*1.05</f>
        <v>900.96</v>
      </c>
      <c r="F291" s="16">
        <f t="shared" si="15"/>
        <v>180.19</v>
      </c>
      <c r="G291" s="295">
        <f t="shared" si="16"/>
        <v>1081.1500000000001</v>
      </c>
      <c r="H291" s="69"/>
      <c r="I291" s="18" t="e">
        <f>#REF!*18%</f>
        <v>#REF!</v>
      </c>
      <c r="J291" s="18" t="e">
        <f>#REF!*1.18</f>
        <v>#REF!</v>
      </c>
      <c r="K291" s="42">
        <v>1.0549999999999999</v>
      </c>
      <c r="L291" s="69"/>
      <c r="M291" s="69"/>
      <c r="N291" s="69"/>
      <c r="O291" s="69"/>
      <c r="Y291" s="122">
        <f>(625.04*1.04)*1.2</f>
        <v>780.05</v>
      </c>
      <c r="BI291" s="129">
        <f>780.05*1.1</f>
        <v>858.06</v>
      </c>
      <c r="BJ291" s="114">
        <f t="shared" si="17"/>
        <v>-42.9</v>
      </c>
    </row>
    <row r="292" spans="1:62" s="51" customFormat="1" ht="17.25" customHeight="1" x14ac:dyDescent="0.2">
      <c r="A292" s="361"/>
      <c r="B292" s="360"/>
      <c r="C292" s="298" t="s">
        <v>161</v>
      </c>
      <c r="D292" s="108" t="s">
        <v>148</v>
      </c>
      <c r="E292" s="295">
        <f>909.56*1.05</f>
        <v>955.04</v>
      </c>
      <c r="F292" s="16">
        <f t="shared" si="15"/>
        <v>191.01</v>
      </c>
      <c r="G292" s="295">
        <f t="shared" si="16"/>
        <v>1146.05</v>
      </c>
      <c r="H292" s="69"/>
      <c r="I292" s="18" t="e">
        <f>#REF!*18%</f>
        <v>#REF!</v>
      </c>
      <c r="J292" s="18" t="e">
        <f>#REF!*1.18</f>
        <v>#REF!</v>
      </c>
      <c r="K292" s="42">
        <v>1.0549999999999999</v>
      </c>
      <c r="L292" s="69"/>
      <c r="M292" s="69"/>
      <c r="N292" s="69"/>
      <c r="O292" s="69"/>
      <c r="Y292" s="115">
        <f>(662.56*1.04)*1.2</f>
        <v>826.87</v>
      </c>
      <c r="BI292" s="162">
        <f>826.87*1.1</f>
        <v>909.56</v>
      </c>
      <c r="BJ292" s="114">
        <f t="shared" si="17"/>
        <v>-45.48</v>
      </c>
    </row>
    <row r="293" spans="1:62" s="51" customFormat="1" ht="18" customHeight="1" thickBot="1" x14ac:dyDescent="0.25">
      <c r="A293" s="361"/>
      <c r="B293" s="360"/>
      <c r="C293" s="298" t="s">
        <v>151</v>
      </c>
      <c r="D293" s="108" t="s">
        <v>148</v>
      </c>
      <c r="E293" s="295">
        <f>1004.51*1.05</f>
        <v>1054.74</v>
      </c>
      <c r="F293" s="16">
        <f t="shared" si="15"/>
        <v>210.95</v>
      </c>
      <c r="G293" s="295">
        <f t="shared" si="16"/>
        <v>1265.69</v>
      </c>
      <c r="H293" s="69"/>
      <c r="I293" s="18" t="e">
        <f>#REF!*18%</f>
        <v>#REF!</v>
      </c>
      <c r="J293" s="18" t="e">
        <f>#REF!*1.18</f>
        <v>#REF!</v>
      </c>
      <c r="K293" s="42">
        <v>1.0549999999999999</v>
      </c>
      <c r="L293" s="69"/>
      <c r="M293" s="69"/>
      <c r="N293" s="69"/>
      <c r="O293" s="69"/>
      <c r="Y293" s="123">
        <f>(731.72*1.04)*1.2</f>
        <v>913.19</v>
      </c>
      <c r="BI293" s="125">
        <f>913.19*1.1</f>
        <v>1004.51</v>
      </c>
      <c r="BJ293" s="114">
        <f t="shared" si="17"/>
        <v>-50.23</v>
      </c>
    </row>
    <row r="294" spans="1:62" s="51" customFormat="1" ht="17.25" customHeight="1" x14ac:dyDescent="0.2">
      <c r="A294" s="361" t="s">
        <v>34</v>
      </c>
      <c r="B294" s="360" t="s">
        <v>162</v>
      </c>
      <c r="C294" s="298" t="s">
        <v>147</v>
      </c>
      <c r="D294" s="108" t="s">
        <v>148</v>
      </c>
      <c r="E294" s="295">
        <f>583.72*1.05</f>
        <v>612.91</v>
      </c>
      <c r="F294" s="16">
        <f t="shared" si="15"/>
        <v>122.58</v>
      </c>
      <c r="G294" s="295">
        <f t="shared" si="16"/>
        <v>735.49</v>
      </c>
      <c r="H294" s="69"/>
      <c r="I294" s="18" t="e">
        <f>#REF!*18%</f>
        <v>#REF!</v>
      </c>
      <c r="J294" s="18" t="e">
        <f>#REF!*1.18</f>
        <v>#REF!</v>
      </c>
      <c r="K294" s="42">
        <v>1.0549999999999999</v>
      </c>
      <c r="L294" s="69"/>
      <c r="M294" s="69"/>
      <c r="N294" s="69"/>
      <c r="O294" s="69"/>
      <c r="Y294" s="112">
        <f>(425.2*1.04)*1.2</f>
        <v>530.65</v>
      </c>
      <c r="BI294" s="113">
        <f>530.65*1.1</f>
        <v>583.72</v>
      </c>
      <c r="BJ294" s="114">
        <f t="shared" si="17"/>
        <v>-29.19</v>
      </c>
    </row>
    <row r="295" spans="1:62" s="51" customFormat="1" ht="19.5" customHeight="1" x14ac:dyDescent="0.2">
      <c r="A295" s="361"/>
      <c r="B295" s="360"/>
      <c r="C295" s="298" t="s">
        <v>163</v>
      </c>
      <c r="D295" s="108" t="s">
        <v>148</v>
      </c>
      <c r="E295" s="295">
        <f>635.22*1.05</f>
        <v>666.98</v>
      </c>
      <c r="F295" s="16">
        <f t="shared" si="15"/>
        <v>133.4</v>
      </c>
      <c r="G295" s="295">
        <f t="shared" si="16"/>
        <v>800.38</v>
      </c>
      <c r="H295" s="69"/>
      <c r="I295" s="18" t="e">
        <f>#REF!*18%</f>
        <v>#REF!</v>
      </c>
      <c r="J295" s="18" t="e">
        <f>#REF!*1.18</f>
        <v>#REF!</v>
      </c>
      <c r="K295" s="42">
        <v>1.0549999999999999</v>
      </c>
      <c r="L295" s="69"/>
      <c r="M295" s="69"/>
      <c r="N295" s="69"/>
      <c r="O295" s="69"/>
      <c r="Y295" s="115">
        <f>(462.72*1.04)*1.2</f>
        <v>577.47</v>
      </c>
      <c r="BI295" s="162">
        <f>577.47*1.1</f>
        <v>635.22</v>
      </c>
      <c r="BJ295" s="114">
        <f t="shared" si="17"/>
        <v>-31.76</v>
      </c>
    </row>
    <row r="296" spans="1:62" s="51" customFormat="1" ht="18" customHeight="1" x14ac:dyDescent="0.2">
      <c r="A296" s="361"/>
      <c r="B296" s="360"/>
      <c r="C296" s="298" t="s">
        <v>164</v>
      </c>
      <c r="D296" s="108" t="s">
        <v>148</v>
      </c>
      <c r="E296" s="295">
        <f>721.02*1.05</f>
        <v>757.07</v>
      </c>
      <c r="F296" s="16">
        <f t="shared" si="15"/>
        <v>151.41</v>
      </c>
      <c r="G296" s="295">
        <f t="shared" si="16"/>
        <v>908.48</v>
      </c>
      <c r="H296" s="69"/>
      <c r="I296" s="18" t="e">
        <f>#REF!*18%</f>
        <v>#REF!</v>
      </c>
      <c r="J296" s="18" t="e">
        <f>#REF!*1.18</f>
        <v>#REF!</v>
      </c>
      <c r="K296" s="42">
        <v>1.0549999999999999</v>
      </c>
      <c r="L296" s="69"/>
      <c r="M296" s="69"/>
      <c r="N296" s="69"/>
      <c r="O296" s="69"/>
      <c r="Y296" s="115">
        <f>(525.22*1.04)*1.2</f>
        <v>655.47</v>
      </c>
      <c r="BI296" s="162">
        <f>655.47*1.1</f>
        <v>721.02</v>
      </c>
      <c r="BJ296" s="114">
        <f t="shared" si="17"/>
        <v>-36.049999999999997</v>
      </c>
    </row>
    <row r="297" spans="1:62" s="51" customFormat="1" ht="16.5" customHeight="1" thickBot="1" x14ac:dyDescent="0.25">
      <c r="A297" s="361"/>
      <c r="B297" s="360"/>
      <c r="C297" s="298" t="s">
        <v>165</v>
      </c>
      <c r="D297" s="108" t="s">
        <v>148</v>
      </c>
      <c r="E297" s="295">
        <f>789.55*1.05</f>
        <v>829.03</v>
      </c>
      <c r="F297" s="16">
        <f t="shared" si="15"/>
        <v>165.81</v>
      </c>
      <c r="G297" s="295">
        <f t="shared" si="16"/>
        <v>994.84</v>
      </c>
      <c r="H297" s="69"/>
      <c r="I297" s="18" t="e">
        <f>#REF!*18%</f>
        <v>#REF!</v>
      </c>
      <c r="J297" s="18" t="e">
        <f>#REF!*1.18</f>
        <v>#REF!</v>
      </c>
      <c r="K297" s="42">
        <v>1.0549999999999999</v>
      </c>
      <c r="L297" s="69"/>
      <c r="M297" s="69"/>
      <c r="N297" s="69"/>
      <c r="O297" s="69"/>
      <c r="Y297" s="120">
        <f>(575.14*1.04)*1.2</f>
        <v>717.77</v>
      </c>
      <c r="BI297" s="121">
        <f>717.77*1.1</f>
        <v>789.55</v>
      </c>
      <c r="BJ297" s="114">
        <f t="shared" si="17"/>
        <v>-39.479999999999997</v>
      </c>
    </row>
    <row r="298" spans="1:62" s="51" customFormat="1" ht="16.5" customHeight="1" x14ac:dyDescent="0.2">
      <c r="A298" s="361" t="s">
        <v>36</v>
      </c>
      <c r="B298" s="360" t="s">
        <v>166</v>
      </c>
      <c r="C298" s="298" t="s">
        <v>147</v>
      </c>
      <c r="D298" s="108" t="s">
        <v>148</v>
      </c>
      <c r="E298" s="295">
        <f>846.38*1.05</f>
        <v>888.7</v>
      </c>
      <c r="F298" s="16">
        <f t="shared" si="15"/>
        <v>177.74</v>
      </c>
      <c r="G298" s="295">
        <f>E298+F298</f>
        <v>1066.44</v>
      </c>
      <c r="H298" s="69"/>
      <c r="I298" s="18"/>
      <c r="J298" s="18"/>
      <c r="K298" s="42"/>
      <c r="L298" s="69"/>
      <c r="M298" s="69"/>
      <c r="N298" s="69"/>
      <c r="O298" s="69"/>
      <c r="Y298" s="112">
        <f>(616.54*1.04)*1.2</f>
        <v>769.44</v>
      </c>
      <c r="BI298" s="113">
        <f>769.44*1.1</f>
        <v>846.38</v>
      </c>
      <c r="BJ298" s="114">
        <f t="shared" si="17"/>
        <v>-42.32</v>
      </c>
    </row>
    <row r="299" spans="1:62" s="51" customFormat="1" ht="16.5" customHeight="1" x14ac:dyDescent="0.2">
      <c r="A299" s="361"/>
      <c r="B299" s="360"/>
      <c r="C299" s="298" t="s">
        <v>163</v>
      </c>
      <c r="D299" s="108" t="s">
        <v>148</v>
      </c>
      <c r="E299" s="295">
        <f>921.06*1.05</f>
        <v>967.11</v>
      </c>
      <c r="F299" s="16">
        <f t="shared" si="15"/>
        <v>193.42</v>
      </c>
      <c r="G299" s="295">
        <f>E299+F299</f>
        <v>1160.53</v>
      </c>
      <c r="H299" s="69"/>
      <c r="I299" s="18"/>
      <c r="J299" s="18"/>
      <c r="K299" s="42"/>
      <c r="L299" s="69"/>
      <c r="M299" s="69"/>
      <c r="N299" s="69"/>
      <c r="O299" s="69"/>
      <c r="Y299" s="115">
        <f>(670.94*1.04)*1.2</f>
        <v>837.33</v>
      </c>
      <c r="BI299" s="162">
        <f>837.33*1.1</f>
        <v>921.06</v>
      </c>
      <c r="BJ299" s="114">
        <f t="shared" si="17"/>
        <v>-46.05</v>
      </c>
    </row>
    <row r="300" spans="1:62" s="51" customFormat="1" ht="16.5" customHeight="1" x14ac:dyDescent="0.2">
      <c r="A300" s="361"/>
      <c r="B300" s="360"/>
      <c r="C300" s="298" t="s">
        <v>164</v>
      </c>
      <c r="D300" s="108" t="s">
        <v>148</v>
      </c>
      <c r="E300" s="295">
        <f>1045.48*1.05</f>
        <v>1097.75</v>
      </c>
      <c r="F300" s="16">
        <f t="shared" si="15"/>
        <v>219.55</v>
      </c>
      <c r="G300" s="295">
        <f>E300+F300</f>
        <v>1317.3</v>
      </c>
      <c r="H300" s="69"/>
      <c r="I300" s="18"/>
      <c r="J300" s="18"/>
      <c r="K300" s="42"/>
      <c r="L300" s="69"/>
      <c r="M300" s="69"/>
      <c r="N300" s="69"/>
      <c r="O300" s="69"/>
      <c r="Y300" s="115">
        <f>(761.57*1.04)*1.2</f>
        <v>950.44</v>
      </c>
      <c r="BI300" s="162">
        <f>950.44*1.1</f>
        <v>1045.48</v>
      </c>
      <c r="BJ300" s="114">
        <f t="shared" si="17"/>
        <v>-52.27</v>
      </c>
    </row>
    <row r="301" spans="1:62" s="51" customFormat="1" ht="16.5" customHeight="1" thickBot="1" x14ac:dyDescent="0.25">
      <c r="A301" s="361"/>
      <c r="B301" s="360"/>
      <c r="C301" s="298" t="s">
        <v>165</v>
      </c>
      <c r="D301" s="108" t="s">
        <v>148</v>
      </c>
      <c r="E301" s="295">
        <f>1144.85*1.05</f>
        <v>1202.0899999999999</v>
      </c>
      <c r="F301" s="16">
        <f t="shared" si="15"/>
        <v>240.42</v>
      </c>
      <c r="G301" s="295">
        <f>E301+F301</f>
        <v>1442.51</v>
      </c>
      <c r="H301" s="69"/>
      <c r="I301" s="18"/>
      <c r="J301" s="18"/>
      <c r="K301" s="42"/>
      <c r="L301" s="69"/>
      <c r="M301" s="69"/>
      <c r="N301" s="69"/>
      <c r="O301" s="69"/>
      <c r="Y301" s="120">
        <f>(833.95*1.04)*1.2</f>
        <v>1040.77</v>
      </c>
      <c r="BI301" s="121">
        <f>1040.77*1.1</f>
        <v>1144.8499999999999</v>
      </c>
      <c r="BJ301" s="114">
        <f t="shared" si="17"/>
        <v>-57.24</v>
      </c>
    </row>
    <row r="302" spans="1:62" s="51" customFormat="1" ht="23.25" customHeight="1" x14ac:dyDescent="0.2">
      <c r="A302" s="361" t="s">
        <v>38</v>
      </c>
      <c r="B302" s="360" t="s">
        <v>167</v>
      </c>
      <c r="C302" s="298" t="s">
        <v>147</v>
      </c>
      <c r="D302" s="108" t="s">
        <v>148</v>
      </c>
      <c r="E302" s="295">
        <f>643.84*1.05</f>
        <v>676.03</v>
      </c>
      <c r="F302" s="16">
        <f t="shared" si="15"/>
        <v>135.21</v>
      </c>
      <c r="G302" s="295">
        <f t="shared" si="16"/>
        <v>811.24</v>
      </c>
      <c r="H302" s="69"/>
      <c r="I302" s="18" t="e">
        <f>#REF!*18%</f>
        <v>#REF!</v>
      </c>
      <c r="J302" s="18" t="e">
        <f>#REF!*1.18</f>
        <v>#REF!</v>
      </c>
      <c r="K302" s="42">
        <v>1.0549999999999999</v>
      </c>
      <c r="L302" s="69"/>
      <c r="M302" s="69"/>
      <c r="N302" s="69"/>
      <c r="O302" s="69"/>
      <c r="Y302" s="112">
        <f>(469*1.04)*1.2</f>
        <v>585.30999999999995</v>
      </c>
      <c r="BI302" s="113">
        <f>585.31*1.1</f>
        <v>643.84</v>
      </c>
      <c r="BJ302" s="114">
        <f t="shared" si="17"/>
        <v>-32.19</v>
      </c>
    </row>
    <row r="303" spans="1:62" s="51" customFormat="1" ht="21.75" customHeight="1" x14ac:dyDescent="0.2">
      <c r="A303" s="361"/>
      <c r="B303" s="360"/>
      <c r="C303" s="298" t="s">
        <v>168</v>
      </c>
      <c r="D303" s="108" t="s">
        <v>148</v>
      </c>
      <c r="E303" s="295">
        <f>695.35*1.05</f>
        <v>730.12</v>
      </c>
      <c r="F303" s="16">
        <f t="shared" si="15"/>
        <v>146.02000000000001</v>
      </c>
      <c r="G303" s="295">
        <f t="shared" si="16"/>
        <v>876.14</v>
      </c>
      <c r="H303" s="69"/>
      <c r="I303" s="18" t="e">
        <f>#REF!*18%</f>
        <v>#REF!</v>
      </c>
      <c r="J303" s="18" t="e">
        <f>#REF!*1.18</f>
        <v>#REF!</v>
      </c>
      <c r="K303" s="42">
        <v>1.0549999999999999</v>
      </c>
      <c r="L303" s="69"/>
      <c r="M303" s="69"/>
      <c r="N303" s="69"/>
      <c r="O303" s="69"/>
      <c r="Y303" s="115">
        <f>(506.52*1.04)*1.2</f>
        <v>632.14</v>
      </c>
      <c r="BI303" s="162">
        <f>632.14*1.1</f>
        <v>695.35</v>
      </c>
      <c r="BJ303" s="114">
        <f t="shared" si="17"/>
        <v>-34.770000000000003</v>
      </c>
    </row>
    <row r="304" spans="1:62" s="51" customFormat="1" ht="23.25" customHeight="1" thickBot="1" x14ac:dyDescent="0.25">
      <c r="A304" s="361"/>
      <c r="B304" s="360"/>
      <c r="C304" s="298" t="s">
        <v>169</v>
      </c>
      <c r="D304" s="108" t="s">
        <v>148</v>
      </c>
      <c r="E304" s="295">
        <f>781.15*1.05</f>
        <v>820.21</v>
      </c>
      <c r="F304" s="16">
        <f t="shared" si="15"/>
        <v>164.04</v>
      </c>
      <c r="G304" s="295">
        <f t="shared" si="16"/>
        <v>984.25</v>
      </c>
      <c r="H304" s="69"/>
      <c r="I304" s="18" t="e">
        <f>#REF!*18%</f>
        <v>#REF!</v>
      </c>
      <c r="J304" s="18" t="e">
        <f>#REF!*1.18</f>
        <v>#REF!</v>
      </c>
      <c r="K304" s="42">
        <v>1.0549999999999999</v>
      </c>
      <c r="L304" s="69"/>
      <c r="M304" s="69"/>
      <c r="N304" s="69"/>
      <c r="O304" s="69"/>
      <c r="Y304" s="120">
        <f>(569.02*1.04)*1.2</f>
        <v>710.14</v>
      </c>
      <c r="BI304" s="121">
        <f>710.14*1.1</f>
        <v>781.15</v>
      </c>
      <c r="BJ304" s="114">
        <f t="shared" si="17"/>
        <v>-39.06</v>
      </c>
    </row>
    <row r="305" spans="1:62" s="51" customFormat="1" ht="23.25" customHeight="1" x14ac:dyDescent="0.2">
      <c r="A305" s="361" t="s">
        <v>41</v>
      </c>
      <c r="B305" s="360" t="s">
        <v>170</v>
      </c>
      <c r="C305" s="298" t="s">
        <v>147</v>
      </c>
      <c r="D305" s="108" t="s">
        <v>148</v>
      </c>
      <c r="E305" s="295">
        <f>933.64*1.05</f>
        <v>980.32</v>
      </c>
      <c r="F305" s="16">
        <f t="shared" si="15"/>
        <v>196.06</v>
      </c>
      <c r="G305" s="295">
        <f>E305+F305</f>
        <v>1176.3800000000001</v>
      </c>
      <c r="H305" s="69"/>
      <c r="I305" s="18"/>
      <c r="J305" s="18"/>
      <c r="K305" s="42"/>
      <c r="L305" s="69"/>
      <c r="M305" s="69"/>
      <c r="N305" s="69"/>
      <c r="O305" s="69"/>
      <c r="Y305" s="112">
        <f>(680.1*1.04)*1.2</f>
        <v>848.76</v>
      </c>
      <c r="BI305" s="113">
        <f>848.76*1.1</f>
        <v>933.64</v>
      </c>
      <c r="BJ305" s="114">
        <f t="shared" si="17"/>
        <v>-46.68</v>
      </c>
    </row>
    <row r="306" spans="1:62" s="51" customFormat="1" ht="23.25" customHeight="1" x14ac:dyDescent="0.2">
      <c r="A306" s="361"/>
      <c r="B306" s="360"/>
      <c r="C306" s="298" t="s">
        <v>168</v>
      </c>
      <c r="D306" s="108" t="s">
        <v>148</v>
      </c>
      <c r="E306" s="295">
        <f>1008.25*1.05</f>
        <v>1058.6600000000001</v>
      </c>
      <c r="F306" s="16">
        <f t="shared" si="15"/>
        <v>211.73</v>
      </c>
      <c r="G306" s="295">
        <f>E306+F306</f>
        <v>1270.3900000000001</v>
      </c>
      <c r="H306" s="69"/>
      <c r="I306" s="18"/>
      <c r="J306" s="18"/>
      <c r="K306" s="42"/>
      <c r="L306" s="69"/>
      <c r="M306" s="69"/>
      <c r="N306" s="69"/>
      <c r="O306" s="69"/>
      <c r="Y306" s="115">
        <f>(734.45*1.04)*1.2</f>
        <v>916.59</v>
      </c>
      <c r="BI306" s="162">
        <f>916.59*1.1</f>
        <v>1008.25</v>
      </c>
      <c r="BJ306" s="114">
        <f t="shared" si="17"/>
        <v>-50.41</v>
      </c>
    </row>
    <row r="307" spans="1:62" s="51" customFormat="1" ht="23.25" customHeight="1" thickBot="1" x14ac:dyDescent="0.25">
      <c r="A307" s="361"/>
      <c r="B307" s="360"/>
      <c r="C307" s="298" t="s">
        <v>169</v>
      </c>
      <c r="D307" s="108" t="s">
        <v>148</v>
      </c>
      <c r="E307" s="295">
        <f>1132.67*1.05</f>
        <v>1189.3</v>
      </c>
      <c r="F307" s="16">
        <f t="shared" si="15"/>
        <v>237.86</v>
      </c>
      <c r="G307" s="295">
        <f>E307+F307</f>
        <v>1427.16</v>
      </c>
      <c r="H307" s="69"/>
      <c r="I307" s="18"/>
      <c r="J307" s="18"/>
      <c r="K307" s="42"/>
      <c r="L307" s="69"/>
      <c r="M307" s="69"/>
      <c r="N307" s="69"/>
      <c r="O307" s="69"/>
      <c r="Y307" s="120">
        <f>(825.08*1.04)*1.2</f>
        <v>1029.7</v>
      </c>
      <c r="BI307" s="121">
        <f>1029.7*1.1</f>
        <v>1132.67</v>
      </c>
      <c r="BJ307" s="114">
        <f t="shared" si="17"/>
        <v>-56.63</v>
      </c>
    </row>
    <row r="308" spans="1:62" s="51" customFormat="1" ht="26.25" customHeight="1" x14ac:dyDescent="0.2">
      <c r="A308" s="361" t="s">
        <v>43</v>
      </c>
      <c r="B308" s="360" t="s">
        <v>171</v>
      </c>
      <c r="C308" s="298" t="s">
        <v>147</v>
      </c>
      <c r="D308" s="108" t="s">
        <v>148</v>
      </c>
      <c r="E308" s="295">
        <f>678.08*1.05</f>
        <v>711.98</v>
      </c>
      <c r="F308" s="16">
        <f t="shared" si="15"/>
        <v>142.4</v>
      </c>
      <c r="G308" s="295">
        <f t="shared" si="16"/>
        <v>854.38</v>
      </c>
      <c r="H308" s="69"/>
      <c r="I308" s="18" t="e">
        <f>#REF!*18%</f>
        <v>#REF!</v>
      </c>
      <c r="J308" s="18" t="e">
        <f>#REF!*1.18</f>
        <v>#REF!</v>
      </c>
      <c r="K308" s="42">
        <v>1.0549999999999999</v>
      </c>
      <c r="L308" s="69"/>
      <c r="M308" s="69"/>
      <c r="N308" s="69"/>
      <c r="O308" s="69"/>
      <c r="Y308" s="112">
        <f>(493.94*1.04)*1.2</f>
        <v>616.44000000000005</v>
      </c>
      <c r="BI308" s="129">
        <f>616.44*1.1</f>
        <v>678.08</v>
      </c>
      <c r="BJ308" s="114">
        <f t="shared" si="17"/>
        <v>-33.9</v>
      </c>
    </row>
    <row r="309" spans="1:62" s="51" customFormat="1" ht="22.5" customHeight="1" x14ac:dyDescent="0.2">
      <c r="A309" s="362"/>
      <c r="B309" s="360"/>
      <c r="C309" s="298" t="s">
        <v>153</v>
      </c>
      <c r="D309" s="108" t="s">
        <v>148</v>
      </c>
      <c r="E309" s="295">
        <f>729.62*1.05</f>
        <v>766.1</v>
      </c>
      <c r="F309" s="16">
        <f t="shared" si="15"/>
        <v>153.22</v>
      </c>
      <c r="G309" s="295">
        <f t="shared" si="16"/>
        <v>919.32</v>
      </c>
      <c r="H309" s="69"/>
      <c r="I309" s="18" t="e">
        <f>#REF!*18%</f>
        <v>#REF!</v>
      </c>
      <c r="J309" s="18" t="e">
        <f>#REF!*1.18</f>
        <v>#REF!</v>
      </c>
      <c r="K309" s="42">
        <v>1.0549999999999999</v>
      </c>
      <c r="L309" s="69"/>
      <c r="M309" s="69"/>
      <c r="N309" s="69"/>
      <c r="O309" s="69"/>
      <c r="Y309" s="115">
        <f>(531.48*1.04)*1.2</f>
        <v>663.29</v>
      </c>
      <c r="BI309" s="162">
        <f>663.29*1.1</f>
        <v>729.62</v>
      </c>
      <c r="BJ309" s="114">
        <f t="shared" si="17"/>
        <v>-36.479999999999997</v>
      </c>
    </row>
    <row r="310" spans="1:62" s="51" customFormat="1" ht="23.25" customHeight="1" x14ac:dyDescent="0.2">
      <c r="A310" s="362"/>
      <c r="B310" s="360"/>
      <c r="C310" s="298" t="s">
        <v>172</v>
      </c>
      <c r="D310" s="108" t="s">
        <v>148</v>
      </c>
      <c r="E310" s="295">
        <f>772.75*1.05</f>
        <v>811.39</v>
      </c>
      <c r="F310" s="16">
        <f t="shared" si="15"/>
        <v>162.28</v>
      </c>
      <c r="G310" s="295">
        <f t="shared" si="16"/>
        <v>973.67</v>
      </c>
      <c r="H310" s="69"/>
      <c r="I310" s="18" t="e">
        <f>#REF!*18%</f>
        <v>#REF!</v>
      </c>
      <c r="J310" s="18" t="e">
        <f>#REF!*1.18</f>
        <v>#REF!</v>
      </c>
      <c r="K310" s="42">
        <v>1.0549999999999999</v>
      </c>
      <c r="L310" s="69"/>
      <c r="M310" s="69"/>
      <c r="N310" s="69"/>
      <c r="O310" s="69"/>
      <c r="Y310" s="115">
        <f>(562.9*1.04)*1.2</f>
        <v>702.5</v>
      </c>
      <c r="BI310" s="162">
        <f>702.5*1.1</f>
        <v>772.75</v>
      </c>
      <c r="BJ310" s="114">
        <f t="shared" si="17"/>
        <v>-38.64</v>
      </c>
    </row>
    <row r="311" spans="1:62" s="51" customFormat="1" ht="23.25" customHeight="1" thickBot="1" x14ac:dyDescent="0.25">
      <c r="A311" s="362"/>
      <c r="B311" s="360"/>
      <c r="C311" s="298" t="s">
        <v>173</v>
      </c>
      <c r="D311" s="108" t="s">
        <v>148</v>
      </c>
      <c r="E311" s="295">
        <f>858.13*1.05</f>
        <v>901.04</v>
      </c>
      <c r="F311" s="16">
        <f t="shared" si="15"/>
        <v>180.21</v>
      </c>
      <c r="G311" s="295">
        <f t="shared" si="16"/>
        <v>1081.25</v>
      </c>
      <c r="H311" s="69"/>
      <c r="I311" s="18"/>
      <c r="J311" s="18"/>
      <c r="K311" s="42"/>
      <c r="L311" s="69"/>
      <c r="M311" s="69"/>
      <c r="N311" s="69"/>
      <c r="O311" s="69"/>
      <c r="Y311" s="120">
        <f>(625.1*1.04)*1.2</f>
        <v>780.12</v>
      </c>
      <c r="BI311" s="121">
        <f>780.12*1.1</f>
        <v>858.13</v>
      </c>
      <c r="BJ311" s="114">
        <f t="shared" si="17"/>
        <v>-42.91</v>
      </c>
    </row>
    <row r="312" spans="1:62" s="51" customFormat="1" ht="23.25" customHeight="1" x14ac:dyDescent="0.2">
      <c r="A312" s="361" t="s">
        <v>45</v>
      </c>
      <c r="B312" s="360" t="s">
        <v>174</v>
      </c>
      <c r="C312" s="298" t="s">
        <v>147</v>
      </c>
      <c r="D312" s="108" t="s">
        <v>148</v>
      </c>
      <c r="E312" s="295">
        <f>983.21*1.05</f>
        <v>1032.3699999999999</v>
      </c>
      <c r="F312" s="16">
        <f t="shared" si="15"/>
        <v>206.47</v>
      </c>
      <c r="G312" s="295">
        <f t="shared" si="16"/>
        <v>1238.8399999999999</v>
      </c>
      <c r="H312" s="69"/>
      <c r="I312" s="18"/>
      <c r="J312" s="18"/>
      <c r="K312" s="42"/>
      <c r="L312" s="69"/>
      <c r="M312" s="69"/>
      <c r="N312" s="69"/>
      <c r="O312" s="69"/>
      <c r="Y312" s="112">
        <f>(716.21*1.04)*1.2</f>
        <v>893.83</v>
      </c>
      <c r="BI312" s="113">
        <f>893.83*1.1</f>
        <v>983.21</v>
      </c>
      <c r="BJ312" s="114">
        <f t="shared" si="17"/>
        <v>-49.16</v>
      </c>
    </row>
    <row r="313" spans="1:62" s="51" customFormat="1" ht="23.25" customHeight="1" x14ac:dyDescent="0.2">
      <c r="A313" s="362"/>
      <c r="B313" s="360"/>
      <c r="C313" s="298" t="s">
        <v>153</v>
      </c>
      <c r="D313" s="108" t="s">
        <v>148</v>
      </c>
      <c r="E313" s="295">
        <f>1057.95*1.05</f>
        <v>1110.8499999999999</v>
      </c>
      <c r="F313" s="16">
        <f t="shared" si="15"/>
        <v>222.17</v>
      </c>
      <c r="G313" s="295">
        <f t="shared" si="16"/>
        <v>1333.02</v>
      </c>
      <c r="H313" s="69"/>
      <c r="I313" s="18"/>
      <c r="J313" s="18"/>
      <c r="K313" s="42"/>
      <c r="L313" s="69"/>
      <c r="M313" s="69"/>
      <c r="N313" s="69"/>
      <c r="O313" s="69"/>
      <c r="Y313" s="115">
        <f>(770.65*1.04)*1.2</f>
        <v>961.77</v>
      </c>
      <c r="BI313" s="162">
        <f>961.77*1.1</f>
        <v>1057.95</v>
      </c>
      <c r="BJ313" s="114">
        <f t="shared" si="17"/>
        <v>-52.9</v>
      </c>
    </row>
    <row r="314" spans="1:62" s="51" customFormat="1" ht="23.25" customHeight="1" x14ac:dyDescent="0.2">
      <c r="A314" s="362"/>
      <c r="B314" s="360"/>
      <c r="C314" s="298" t="s">
        <v>172</v>
      </c>
      <c r="D314" s="108" t="s">
        <v>148</v>
      </c>
      <c r="E314" s="295">
        <f>1120.49*1.05</f>
        <v>1176.51</v>
      </c>
      <c r="F314" s="16">
        <f t="shared" si="15"/>
        <v>235.3</v>
      </c>
      <c r="G314" s="295">
        <f t="shared" si="16"/>
        <v>1411.81</v>
      </c>
      <c r="H314" s="69"/>
      <c r="I314" s="18"/>
      <c r="J314" s="18"/>
      <c r="K314" s="42"/>
      <c r="L314" s="69"/>
      <c r="M314" s="69"/>
      <c r="N314" s="69"/>
      <c r="O314" s="69"/>
      <c r="Y314" s="115">
        <f>(816.21*1.04)*1.2</f>
        <v>1018.63</v>
      </c>
      <c r="BI314" s="162">
        <f>1018.63*1.1</f>
        <v>1120.49</v>
      </c>
      <c r="BJ314" s="114">
        <f t="shared" si="17"/>
        <v>-56.02</v>
      </c>
    </row>
    <row r="315" spans="1:62" s="51" customFormat="1" ht="23.25" customHeight="1" thickBot="1" x14ac:dyDescent="0.25">
      <c r="A315" s="362"/>
      <c r="B315" s="360"/>
      <c r="C315" s="298" t="s">
        <v>173</v>
      </c>
      <c r="D315" s="108" t="s">
        <v>148</v>
      </c>
      <c r="E315" s="295">
        <f>1244.31*1.05</f>
        <v>1306.53</v>
      </c>
      <c r="F315" s="16">
        <f t="shared" si="15"/>
        <v>261.31</v>
      </c>
      <c r="G315" s="295">
        <f t="shared" si="16"/>
        <v>1567.84</v>
      </c>
      <c r="H315" s="69"/>
      <c r="I315" s="18"/>
      <c r="J315" s="18"/>
      <c r="K315" s="42"/>
      <c r="L315" s="69"/>
      <c r="M315" s="69"/>
      <c r="N315" s="69"/>
      <c r="O315" s="69"/>
      <c r="Y315" s="120">
        <f>(906.4*1.04)*1.2</f>
        <v>1131.19</v>
      </c>
      <c r="BI315" s="121">
        <f>1131.19*1.1</f>
        <v>1244.31</v>
      </c>
      <c r="BJ315" s="114">
        <f t="shared" si="17"/>
        <v>-62.22</v>
      </c>
    </row>
    <row r="316" spans="1:62" s="51" customFormat="1" ht="18.75" customHeight="1" x14ac:dyDescent="0.2">
      <c r="A316" s="359" t="s">
        <v>47</v>
      </c>
      <c r="B316" s="360" t="s">
        <v>175</v>
      </c>
      <c r="C316" s="130" t="s">
        <v>147</v>
      </c>
      <c r="D316" s="108" t="s">
        <v>148</v>
      </c>
      <c r="E316" s="295">
        <f>711.6*1.05</f>
        <v>747.18</v>
      </c>
      <c r="F316" s="16">
        <f t="shared" si="15"/>
        <v>149.44</v>
      </c>
      <c r="G316" s="295">
        <f t="shared" si="16"/>
        <v>896.62</v>
      </c>
      <c r="H316" s="69"/>
      <c r="I316" s="18"/>
      <c r="J316" s="18"/>
      <c r="K316" s="42"/>
      <c r="L316" s="69"/>
      <c r="M316" s="69"/>
      <c r="N316" s="69"/>
      <c r="O316" s="69"/>
      <c r="Y316" s="112">
        <f>(518.36*1.04)*1.2</f>
        <v>646.91</v>
      </c>
      <c r="BI316" s="113">
        <f>646.91*1.1</f>
        <v>711.6</v>
      </c>
      <c r="BJ316" s="114">
        <f t="shared" si="17"/>
        <v>-35.58</v>
      </c>
    </row>
    <row r="317" spans="1:62" s="51" customFormat="1" ht="19.5" customHeight="1" x14ac:dyDescent="0.2">
      <c r="A317" s="359"/>
      <c r="B317" s="360"/>
      <c r="C317" s="130" t="s">
        <v>176</v>
      </c>
      <c r="D317" s="108" t="s">
        <v>148</v>
      </c>
      <c r="E317" s="295">
        <f>763.85*1.05</f>
        <v>802.04</v>
      </c>
      <c r="F317" s="16">
        <f t="shared" si="15"/>
        <v>160.41</v>
      </c>
      <c r="G317" s="295">
        <f t="shared" si="16"/>
        <v>962.45</v>
      </c>
      <c r="H317" s="69"/>
      <c r="I317" s="18"/>
      <c r="J317" s="18"/>
      <c r="K317" s="42"/>
      <c r="L317" s="69"/>
      <c r="M317" s="69"/>
      <c r="N317" s="69"/>
      <c r="O317" s="69"/>
      <c r="Y317" s="115">
        <f>(556.42*1.04)*1.2</f>
        <v>694.41</v>
      </c>
      <c r="BI317" s="162">
        <f>694.41*1.1</f>
        <v>763.85</v>
      </c>
      <c r="BJ317" s="114">
        <f t="shared" si="17"/>
        <v>-38.19</v>
      </c>
    </row>
    <row r="318" spans="1:62" s="51" customFormat="1" ht="18.75" customHeight="1" x14ac:dyDescent="0.2">
      <c r="A318" s="359"/>
      <c r="B318" s="360"/>
      <c r="C318" s="130" t="s">
        <v>177</v>
      </c>
      <c r="D318" s="108" t="s">
        <v>148</v>
      </c>
      <c r="E318" s="295">
        <f>783.43*1.05</f>
        <v>822.6</v>
      </c>
      <c r="F318" s="16">
        <f t="shared" si="15"/>
        <v>164.52</v>
      </c>
      <c r="G318" s="295">
        <f t="shared" si="16"/>
        <v>987.12</v>
      </c>
      <c r="H318" s="69"/>
      <c r="I318" s="18"/>
      <c r="J318" s="18"/>
      <c r="K318" s="42"/>
      <c r="L318" s="69"/>
      <c r="M318" s="69"/>
      <c r="N318" s="69"/>
      <c r="O318" s="69"/>
      <c r="Y318" s="115">
        <f>(570.68*1.04)*1.2</f>
        <v>712.21</v>
      </c>
      <c r="BI318" s="162">
        <f>712.21*1.1</f>
        <v>783.43</v>
      </c>
      <c r="BJ318" s="114">
        <f t="shared" si="17"/>
        <v>-39.17</v>
      </c>
    </row>
    <row r="319" spans="1:62" s="51" customFormat="1" ht="18.75" customHeight="1" thickBot="1" x14ac:dyDescent="0.25">
      <c r="A319" s="359"/>
      <c r="B319" s="360"/>
      <c r="C319" s="130" t="s">
        <v>178</v>
      </c>
      <c r="D319" s="108" t="s">
        <v>148</v>
      </c>
      <c r="E319" s="295">
        <f>842.2*1.05</f>
        <v>884.31</v>
      </c>
      <c r="F319" s="16">
        <f t="shared" si="15"/>
        <v>176.86</v>
      </c>
      <c r="G319" s="295">
        <f t="shared" si="16"/>
        <v>1061.17</v>
      </c>
      <c r="H319" s="69"/>
      <c r="I319" s="18"/>
      <c r="J319" s="18"/>
      <c r="K319" s="42"/>
      <c r="L319" s="69"/>
      <c r="M319" s="69"/>
      <c r="N319" s="69"/>
      <c r="O319" s="69"/>
      <c r="Y319" s="120">
        <f>(613.49*1.04)*1.2</f>
        <v>765.64</v>
      </c>
      <c r="BI319" s="121">
        <f>765.64*1.1</f>
        <v>842.2</v>
      </c>
      <c r="BJ319" s="114">
        <f t="shared" si="17"/>
        <v>-42.11</v>
      </c>
    </row>
    <row r="320" spans="1:62" s="51" customFormat="1" ht="18.75" customHeight="1" x14ac:dyDescent="0.2">
      <c r="A320" s="359" t="s">
        <v>49</v>
      </c>
      <c r="B320" s="360" t="s">
        <v>179</v>
      </c>
      <c r="C320" s="130" t="s">
        <v>147</v>
      </c>
      <c r="D320" s="108" t="s">
        <v>148</v>
      </c>
      <c r="E320" s="295">
        <f>853.92*1.05</f>
        <v>896.62</v>
      </c>
      <c r="F320" s="16">
        <f t="shared" si="15"/>
        <v>179.32</v>
      </c>
      <c r="G320" s="295">
        <f t="shared" si="16"/>
        <v>1075.94</v>
      </c>
      <c r="H320" s="69"/>
      <c r="I320" s="18"/>
      <c r="J320" s="18"/>
      <c r="K320" s="42"/>
      <c r="L320" s="69"/>
      <c r="M320" s="69"/>
      <c r="N320" s="69"/>
      <c r="O320" s="69"/>
      <c r="Y320" s="112">
        <f>(622.03*1.04)*1.2</f>
        <v>776.29</v>
      </c>
      <c r="BI320" s="129">
        <f>776.29*1.1</f>
        <v>853.92</v>
      </c>
      <c r="BJ320" s="114">
        <f t="shared" si="17"/>
        <v>-42.7</v>
      </c>
    </row>
    <row r="321" spans="1:137" s="51" customFormat="1" ht="18.75" customHeight="1" x14ac:dyDescent="0.2">
      <c r="A321" s="359"/>
      <c r="B321" s="360"/>
      <c r="C321" s="130" t="s">
        <v>176</v>
      </c>
      <c r="D321" s="108" t="s">
        <v>148</v>
      </c>
      <c r="E321" s="295">
        <f>916.62*1.05</f>
        <v>962.45</v>
      </c>
      <c r="F321" s="16">
        <f t="shared" si="15"/>
        <v>192.49</v>
      </c>
      <c r="G321" s="295">
        <f t="shared" si="16"/>
        <v>1154.94</v>
      </c>
      <c r="H321" s="69"/>
      <c r="I321" s="18"/>
      <c r="J321" s="18"/>
      <c r="K321" s="42"/>
      <c r="L321" s="69"/>
      <c r="M321" s="69"/>
      <c r="N321" s="69"/>
      <c r="O321" s="69"/>
      <c r="Y321" s="115">
        <f>(667.7*1.04)*1.2</f>
        <v>833.29</v>
      </c>
      <c r="BI321" s="162">
        <f>833.29*1.1</f>
        <v>916.62</v>
      </c>
      <c r="BJ321" s="114">
        <f t="shared" si="17"/>
        <v>-45.83</v>
      </c>
    </row>
    <row r="322" spans="1:137" s="51" customFormat="1" ht="18.75" customHeight="1" x14ac:dyDescent="0.2">
      <c r="A322" s="359"/>
      <c r="B322" s="360"/>
      <c r="C322" s="130" t="s">
        <v>177</v>
      </c>
      <c r="D322" s="108" t="s">
        <v>148</v>
      </c>
      <c r="E322" s="295">
        <f>940.13*1.05</f>
        <v>987.14</v>
      </c>
      <c r="F322" s="16">
        <f t="shared" si="15"/>
        <v>197.43</v>
      </c>
      <c r="G322" s="295">
        <f t="shared" si="16"/>
        <v>1184.57</v>
      </c>
      <c r="H322" s="69"/>
      <c r="I322" s="18"/>
      <c r="J322" s="18"/>
      <c r="K322" s="42"/>
      <c r="L322" s="69"/>
      <c r="M322" s="69"/>
      <c r="N322" s="69"/>
      <c r="O322" s="69"/>
      <c r="Y322" s="115">
        <f>(684.82*1.04)*1.2</f>
        <v>854.66</v>
      </c>
      <c r="BI322" s="162">
        <f>854.66*1.1</f>
        <v>940.13</v>
      </c>
      <c r="BJ322" s="114">
        <f t="shared" si="17"/>
        <v>-47.01</v>
      </c>
    </row>
    <row r="323" spans="1:137" s="51" customFormat="1" ht="18.75" customHeight="1" thickBot="1" x14ac:dyDescent="0.25">
      <c r="A323" s="359"/>
      <c r="B323" s="360"/>
      <c r="C323" s="130" t="s">
        <v>178</v>
      </c>
      <c r="D323" s="108" t="s">
        <v>148</v>
      </c>
      <c r="E323" s="295">
        <f>1010.65*1.05</f>
        <v>1061.18</v>
      </c>
      <c r="F323" s="16">
        <f t="shared" si="15"/>
        <v>212.24</v>
      </c>
      <c r="G323" s="295">
        <f t="shared" si="16"/>
        <v>1273.42</v>
      </c>
      <c r="H323" s="69"/>
      <c r="I323" s="18"/>
      <c r="J323" s="18"/>
      <c r="K323" s="42"/>
      <c r="L323" s="69"/>
      <c r="M323" s="69"/>
      <c r="N323" s="69"/>
      <c r="O323" s="69"/>
      <c r="Y323" s="120">
        <f>(736.19*1.04)*1.2</f>
        <v>918.77</v>
      </c>
      <c r="BI323" s="121">
        <f>918.77*1.1</f>
        <v>1010.65</v>
      </c>
      <c r="BJ323" s="114">
        <f t="shared" si="17"/>
        <v>-50.53</v>
      </c>
    </row>
    <row r="324" spans="1:137" s="51" customFormat="1" ht="18.75" customHeight="1" thickBot="1" x14ac:dyDescent="0.25">
      <c r="A324" s="301" t="s">
        <v>51</v>
      </c>
      <c r="B324" s="131" t="s">
        <v>180</v>
      </c>
      <c r="C324" s="130"/>
      <c r="D324" s="108" t="s">
        <v>148</v>
      </c>
      <c r="E324" s="295">
        <f>643.84*1.05</f>
        <v>676.03</v>
      </c>
      <c r="F324" s="16">
        <f t="shared" si="15"/>
        <v>135.21</v>
      </c>
      <c r="G324" s="295">
        <f t="shared" si="16"/>
        <v>811.24</v>
      </c>
      <c r="H324" s="69"/>
      <c r="I324" s="18"/>
      <c r="J324" s="18"/>
      <c r="K324" s="42"/>
      <c r="L324" s="69"/>
      <c r="M324" s="69"/>
      <c r="N324" s="69"/>
      <c r="O324" s="69"/>
      <c r="Y324" s="132">
        <f>(469*1.04)*1.2</f>
        <v>585.30999999999995</v>
      </c>
      <c r="BI324" s="133">
        <f>585.31*1.1</f>
        <v>643.84</v>
      </c>
      <c r="BJ324" s="114">
        <f t="shared" si="17"/>
        <v>-32.19</v>
      </c>
    </row>
    <row r="325" spans="1:137" s="51" customFormat="1" ht="25.5" x14ac:dyDescent="0.25">
      <c r="A325" s="361" t="s">
        <v>53</v>
      </c>
      <c r="B325" s="360" t="s">
        <v>181</v>
      </c>
      <c r="C325" s="298" t="s">
        <v>182</v>
      </c>
      <c r="D325" s="134" t="s">
        <v>183</v>
      </c>
      <c r="E325" s="295">
        <f>731.2*1.05</f>
        <v>767.76</v>
      </c>
      <c r="F325" s="16">
        <f t="shared" si="15"/>
        <v>153.55000000000001</v>
      </c>
      <c r="G325" s="295">
        <f t="shared" si="16"/>
        <v>921.31</v>
      </c>
      <c r="H325" s="135"/>
      <c r="I325" s="18" t="e">
        <f>#REF!*18%</f>
        <v>#REF!</v>
      </c>
      <c r="J325" s="18" t="e">
        <f>#REF!*1.18</f>
        <v>#REF!</v>
      </c>
      <c r="K325" s="42">
        <v>1.0549999999999999</v>
      </c>
      <c r="L325" s="136"/>
      <c r="M325" s="137"/>
      <c r="N325" s="69"/>
      <c r="O325" s="69"/>
      <c r="Y325" s="122">
        <f>(532.64*1.04)*1.2</f>
        <v>664.73</v>
      </c>
      <c r="BI325" s="129">
        <f>664.73*1.1</f>
        <v>731.2</v>
      </c>
      <c r="BJ325" s="114">
        <f t="shared" si="17"/>
        <v>-36.56</v>
      </c>
    </row>
    <row r="326" spans="1:137" s="51" customFormat="1" ht="25.5" x14ac:dyDescent="0.25">
      <c r="A326" s="361"/>
      <c r="B326" s="360"/>
      <c r="C326" s="298" t="s">
        <v>184</v>
      </c>
      <c r="D326" s="134" t="s">
        <v>185</v>
      </c>
      <c r="E326" s="295">
        <f>823.45*1.05</f>
        <v>864.62</v>
      </c>
      <c r="F326" s="16">
        <f t="shared" si="15"/>
        <v>172.92</v>
      </c>
      <c r="G326" s="295">
        <f t="shared" si="16"/>
        <v>1037.54</v>
      </c>
      <c r="H326" s="135"/>
      <c r="I326" s="18" t="e">
        <f>#REF!*18%</f>
        <v>#REF!</v>
      </c>
      <c r="J326" s="18" t="e">
        <f>#REF!*1.18</f>
        <v>#REF!</v>
      </c>
      <c r="K326" s="42">
        <v>1.0549999999999999</v>
      </c>
      <c r="L326" s="136"/>
      <c r="M326" s="137"/>
      <c r="N326" s="69"/>
      <c r="O326" s="69"/>
      <c r="Y326" s="115">
        <f>(599.83*1.04)*1.2</f>
        <v>748.59</v>
      </c>
      <c r="BI326" s="162">
        <f>748.59*1.1</f>
        <v>823.45</v>
      </c>
      <c r="BJ326" s="114">
        <f t="shared" si="17"/>
        <v>-41.17</v>
      </c>
      <c r="EG326" s="138"/>
    </row>
    <row r="327" spans="1:137" s="51" customFormat="1" ht="25.5" x14ac:dyDescent="0.25">
      <c r="A327" s="361"/>
      <c r="B327" s="360"/>
      <c r="C327" s="298" t="s">
        <v>186</v>
      </c>
      <c r="D327" s="134" t="s">
        <v>187</v>
      </c>
      <c r="E327" s="295">
        <f>848.72*1.05</f>
        <v>891.16</v>
      </c>
      <c r="F327" s="16">
        <f t="shared" si="15"/>
        <v>178.23</v>
      </c>
      <c r="G327" s="295">
        <f t="shared" si="16"/>
        <v>1069.3900000000001</v>
      </c>
      <c r="H327" s="135"/>
      <c r="I327" s="18" t="e">
        <f>#REF!*18%</f>
        <v>#REF!</v>
      </c>
      <c r="J327" s="18" t="e">
        <f>#REF!*1.18</f>
        <v>#REF!</v>
      </c>
      <c r="K327" s="42">
        <v>1.0549999999999999</v>
      </c>
      <c r="L327" s="136"/>
      <c r="M327" s="137"/>
      <c r="N327" s="69"/>
      <c r="O327" s="69"/>
      <c r="Y327" s="115">
        <f>(618.24*1.04)*1.2</f>
        <v>771.56</v>
      </c>
      <c r="BI327" s="162">
        <f>771.56*1.1</f>
        <v>848.72</v>
      </c>
      <c r="BJ327" s="114">
        <f t="shared" si="17"/>
        <v>-42.44</v>
      </c>
    </row>
    <row r="328" spans="1:137" s="51" customFormat="1" ht="39" thickBot="1" x14ac:dyDescent="0.3">
      <c r="A328" s="361"/>
      <c r="B328" s="360"/>
      <c r="C328" s="298" t="s">
        <v>188</v>
      </c>
      <c r="D328" s="134" t="s">
        <v>189</v>
      </c>
      <c r="E328" s="295">
        <f>917.5*1.05</f>
        <v>963.38</v>
      </c>
      <c r="F328" s="16">
        <f t="shared" si="15"/>
        <v>192.68</v>
      </c>
      <c r="G328" s="295">
        <f t="shared" si="16"/>
        <v>1156.06</v>
      </c>
      <c r="H328" s="135"/>
      <c r="I328" s="18" t="e">
        <f>#REF!*18%</f>
        <v>#REF!</v>
      </c>
      <c r="J328" s="18" t="e">
        <f>#REF!*1.18</f>
        <v>#REF!</v>
      </c>
      <c r="K328" s="42">
        <v>1.0549999999999999</v>
      </c>
      <c r="L328" s="136"/>
      <c r="M328" s="137"/>
      <c r="N328" s="69"/>
      <c r="O328" s="69"/>
      <c r="Y328" s="123">
        <f>(668.34*1.04)*1.2</f>
        <v>834.09</v>
      </c>
      <c r="BI328" s="125">
        <f>834.09*1.1</f>
        <v>917.5</v>
      </c>
      <c r="BJ328" s="114">
        <f t="shared" si="17"/>
        <v>-45.88</v>
      </c>
    </row>
    <row r="329" spans="1:137" s="19" customFormat="1" ht="36.75" customHeight="1" thickBot="1" x14ac:dyDescent="0.25">
      <c r="A329" s="353" t="s">
        <v>190</v>
      </c>
      <c r="B329" s="353"/>
      <c r="C329" s="130" t="s">
        <v>191</v>
      </c>
      <c r="D329" s="139" t="s">
        <v>148</v>
      </c>
      <c r="E329" s="295">
        <f>221.05*1.05</f>
        <v>232.1</v>
      </c>
      <c r="F329" s="16">
        <f t="shared" si="15"/>
        <v>46.42</v>
      </c>
      <c r="G329" s="295">
        <f t="shared" si="16"/>
        <v>278.52</v>
      </c>
      <c r="H329" s="4"/>
      <c r="I329" s="18" t="e">
        <f>#REF!*18%</f>
        <v>#REF!</v>
      </c>
      <c r="J329" s="18" t="e">
        <f>#REF!*1.18</f>
        <v>#REF!</v>
      </c>
      <c r="K329" s="42">
        <v>1.0549999999999999</v>
      </c>
      <c r="L329" s="4"/>
      <c r="M329" s="4"/>
      <c r="N329" s="4"/>
      <c r="O329" s="4"/>
      <c r="Y329" s="132">
        <f>(161.02*1.04)*1.2</f>
        <v>200.95</v>
      </c>
      <c r="BI329" s="133">
        <f>200.95*1.1</f>
        <v>221.05</v>
      </c>
      <c r="BJ329" s="114">
        <f t="shared" si="17"/>
        <v>-11.05</v>
      </c>
    </row>
    <row r="330" spans="1:137" s="19" customFormat="1" ht="18" customHeight="1" x14ac:dyDescent="0.2">
      <c r="A330" s="140"/>
      <c r="B330" s="82"/>
      <c r="C330" s="141"/>
      <c r="D330" s="142"/>
      <c r="E330" s="143"/>
      <c r="F330" s="85"/>
      <c r="G330" s="85"/>
      <c r="H330" s="4"/>
      <c r="I330" s="18"/>
      <c r="J330" s="18"/>
      <c r="K330" s="42"/>
      <c r="L330" s="4"/>
      <c r="M330" s="4"/>
      <c r="N330" s="4"/>
      <c r="O330" s="4"/>
    </row>
    <row r="331" spans="1:137" s="19" customFormat="1" ht="18.75" customHeight="1" x14ac:dyDescent="0.2">
      <c r="A331" s="357" t="s">
        <v>192</v>
      </c>
      <c r="B331" s="357"/>
      <c r="C331" s="357"/>
      <c r="D331" s="357"/>
      <c r="E331" s="357"/>
      <c r="F331" s="357"/>
      <c r="G331" s="357"/>
      <c r="H331" s="4"/>
      <c r="I331" s="4"/>
      <c r="J331" s="4"/>
      <c r="K331" s="4"/>
      <c r="L331" s="4"/>
      <c r="M331" s="4"/>
      <c r="N331" s="4"/>
      <c r="O331" s="4"/>
    </row>
    <row r="332" spans="1:137" s="19" customFormat="1" ht="9.75" customHeight="1" x14ac:dyDescent="0.2">
      <c r="A332" s="357"/>
      <c r="B332" s="357"/>
      <c r="C332" s="357"/>
      <c r="D332" s="357"/>
      <c r="E332" s="357"/>
      <c r="F332" s="357"/>
      <c r="G332" s="357"/>
      <c r="H332" s="4"/>
      <c r="I332" s="4"/>
      <c r="J332" s="4"/>
      <c r="K332" s="4"/>
      <c r="L332" s="4"/>
      <c r="M332" s="4"/>
      <c r="N332" s="4"/>
      <c r="O332" s="4"/>
    </row>
    <row r="333" spans="1:137" s="19" customFormat="1" ht="6" customHeight="1" x14ac:dyDescent="0.2">
      <c r="A333" s="144"/>
      <c r="B333" s="144"/>
      <c r="C333" s="144"/>
      <c r="D333" s="144"/>
      <c r="E333" s="144"/>
      <c r="F333" s="144"/>
      <c r="G333" s="144"/>
      <c r="H333" s="4"/>
      <c r="I333" s="4"/>
      <c r="J333" s="4"/>
      <c r="K333" s="4"/>
      <c r="L333" s="4"/>
      <c r="M333" s="4"/>
      <c r="N333" s="4"/>
      <c r="O333" s="4"/>
    </row>
    <row r="334" spans="1:137" s="19" customFormat="1" ht="79.5" customHeight="1" x14ac:dyDescent="0.2">
      <c r="A334" s="292" t="s">
        <v>193</v>
      </c>
      <c r="B334" s="296" t="s">
        <v>194</v>
      </c>
      <c r="C334" s="296" t="s">
        <v>6</v>
      </c>
      <c r="D334" s="296" t="s">
        <v>7</v>
      </c>
      <c r="E334" s="8" t="s">
        <v>8</v>
      </c>
      <c r="F334" s="296" t="s">
        <v>9</v>
      </c>
      <c r="G334" s="3"/>
      <c r="H334" s="4"/>
      <c r="I334" s="4"/>
      <c r="J334" s="4"/>
      <c r="K334" s="4"/>
      <c r="L334" s="4"/>
      <c r="M334" s="4"/>
      <c r="N334" s="4"/>
      <c r="O334" s="4"/>
    </row>
    <row r="335" spans="1:137" s="19" customFormat="1" ht="15.75" customHeight="1" x14ac:dyDescent="0.2">
      <c r="A335" s="292" t="s">
        <v>195</v>
      </c>
      <c r="B335" s="296" t="s">
        <v>196</v>
      </c>
      <c r="C335" s="296" t="s">
        <v>197</v>
      </c>
      <c r="D335" s="296" t="s">
        <v>198</v>
      </c>
      <c r="E335" s="280">
        <v>5</v>
      </c>
      <c r="F335" s="280">
        <v>6</v>
      </c>
      <c r="G335" s="3"/>
      <c r="H335" s="4"/>
      <c r="I335" s="4"/>
      <c r="J335" s="4"/>
      <c r="K335" s="4"/>
      <c r="L335" s="4"/>
      <c r="M335" s="4"/>
      <c r="N335" s="4"/>
      <c r="O335" s="4"/>
    </row>
    <row r="336" spans="1:137" s="19" customFormat="1" ht="18" customHeight="1" x14ac:dyDescent="0.2">
      <c r="A336" s="292" t="s">
        <v>11</v>
      </c>
      <c r="B336" s="358" t="s">
        <v>199</v>
      </c>
      <c r="C336" s="358"/>
      <c r="D336" s="358"/>
      <c r="E336" s="358"/>
      <c r="F336" s="358"/>
      <c r="G336" s="3"/>
      <c r="H336" s="4"/>
      <c r="I336" s="4"/>
      <c r="J336" s="4"/>
      <c r="K336" s="4"/>
      <c r="L336" s="4"/>
      <c r="M336" s="4"/>
      <c r="N336" s="4"/>
      <c r="O336" s="4"/>
    </row>
    <row r="337" spans="1:64" s="19" customFormat="1" ht="20.25" customHeight="1" x14ac:dyDescent="0.2">
      <c r="A337" s="270" t="s">
        <v>200</v>
      </c>
      <c r="B337" s="300" t="s">
        <v>201</v>
      </c>
      <c r="C337" s="298" t="s">
        <v>202</v>
      </c>
      <c r="D337" s="145">
        <f>960.67*1.04*1.04*1.05</f>
        <v>1091.01</v>
      </c>
      <c r="E337" s="16">
        <f>D337*20%</f>
        <v>218.2</v>
      </c>
      <c r="F337" s="295">
        <f>D337+E337</f>
        <v>1309.21</v>
      </c>
      <c r="G337" s="3"/>
      <c r="H337" s="4"/>
      <c r="I337" s="107" t="s">
        <v>203</v>
      </c>
      <c r="J337" s="4"/>
      <c r="K337" s="42">
        <v>1.0549999999999999</v>
      </c>
      <c r="L337" s="4"/>
      <c r="M337" s="4"/>
      <c r="N337" s="4"/>
      <c r="O337" s="4"/>
      <c r="X337" s="19">
        <v>1.0549999999999999</v>
      </c>
      <c r="Y337" s="146">
        <f>(867.22)*1.055</f>
        <v>914.92</v>
      </c>
      <c r="BI337" s="147">
        <f>914.92*1.05</f>
        <v>960.67</v>
      </c>
      <c r="BJ337" s="20">
        <f>BI337-D337</f>
        <v>-130.34</v>
      </c>
      <c r="BL337" s="19">
        <f>(5+100)/100</f>
        <v>1.05</v>
      </c>
    </row>
    <row r="338" spans="1:64" s="19" customFormat="1" ht="34.5" customHeight="1" x14ac:dyDescent="0.2">
      <c r="A338" s="270" t="s">
        <v>204</v>
      </c>
      <c r="B338" s="300" t="s">
        <v>205</v>
      </c>
      <c r="C338" s="298" t="s">
        <v>202</v>
      </c>
      <c r="D338" s="145">
        <f>149.86*1.04*1.05</f>
        <v>163.65</v>
      </c>
      <c r="E338" s="16">
        <f>D338*20%</f>
        <v>32.729999999999997</v>
      </c>
      <c r="F338" s="295">
        <f>D338+E338</f>
        <v>196.38</v>
      </c>
      <c r="G338" s="3"/>
      <c r="H338" s="4"/>
      <c r="I338" s="107"/>
      <c r="J338" s="4"/>
      <c r="K338" s="42">
        <v>1.0549999999999999</v>
      </c>
      <c r="L338" s="4"/>
      <c r="M338" s="4"/>
      <c r="N338" s="4"/>
      <c r="O338" s="4"/>
      <c r="Y338" s="148">
        <f>(130.09)*1.055</f>
        <v>137.24</v>
      </c>
      <c r="BI338" s="149">
        <f>137.24*1.05</f>
        <v>144.1</v>
      </c>
      <c r="BJ338" s="20">
        <f>BI338-D338</f>
        <v>-19.55</v>
      </c>
      <c r="BL338" s="19">
        <f>(5+100)/100</f>
        <v>1.05</v>
      </c>
    </row>
    <row r="339" spans="1:64" s="19" customFormat="1" ht="26.25" customHeight="1" x14ac:dyDescent="0.2">
      <c r="A339" s="292" t="s">
        <v>23</v>
      </c>
      <c r="B339" s="300" t="s">
        <v>206</v>
      </c>
      <c r="C339" s="298" t="s">
        <v>202</v>
      </c>
      <c r="D339" s="145">
        <f>32.93*1.04*1.05</f>
        <v>35.96</v>
      </c>
      <c r="E339" s="16">
        <f>D339*20%</f>
        <v>7.19</v>
      </c>
      <c r="F339" s="295">
        <f>D339+E339</f>
        <v>43.15</v>
      </c>
      <c r="G339" s="3"/>
      <c r="H339" s="4"/>
      <c r="I339" s="107" t="s">
        <v>207</v>
      </c>
      <c r="J339" s="4"/>
      <c r="K339" s="42">
        <v>1.0549999999999999</v>
      </c>
      <c r="L339" s="4"/>
      <c r="M339" s="4"/>
      <c r="N339" s="4"/>
      <c r="O339" s="4"/>
      <c r="Y339" s="150">
        <f>(15*1.055)</f>
        <v>15.83</v>
      </c>
      <c r="BI339" s="145">
        <f>15.83*2</f>
        <v>31.66</v>
      </c>
      <c r="BJ339" s="20">
        <f>BI339-D339</f>
        <v>-4.3</v>
      </c>
      <c r="BL339" s="19">
        <f>(100+100)/100</f>
        <v>2</v>
      </c>
    </row>
    <row r="340" spans="1:64" s="19" customFormat="1" ht="26.25" customHeight="1" thickBot="1" x14ac:dyDescent="0.25">
      <c r="A340" s="292" t="s">
        <v>26</v>
      </c>
      <c r="B340" s="300" t="s">
        <v>208</v>
      </c>
      <c r="C340" s="298" t="s">
        <v>202</v>
      </c>
      <c r="D340" s="145">
        <f>239.23*1.04*1.05</f>
        <v>261.24</v>
      </c>
      <c r="E340" s="16">
        <f>D340*20%</f>
        <v>52.25</v>
      </c>
      <c r="F340" s="295">
        <f>D340+E340</f>
        <v>313.49</v>
      </c>
      <c r="G340" s="3"/>
      <c r="H340" s="4"/>
      <c r="I340" s="72"/>
      <c r="J340" s="4"/>
      <c r="K340" s="42"/>
      <c r="L340" s="4"/>
      <c r="M340" s="4"/>
      <c r="N340" s="4"/>
      <c r="O340" s="4"/>
      <c r="Y340" s="151">
        <f>145.36*1.055</f>
        <v>153.35</v>
      </c>
      <c r="BI340" s="152">
        <f>153.35*1.5</f>
        <v>230.03</v>
      </c>
      <c r="BJ340" s="20">
        <f>BI340-D340</f>
        <v>-31.21</v>
      </c>
      <c r="BL340" s="19">
        <f>(50+100)/100</f>
        <v>1.5</v>
      </c>
    </row>
    <row r="341" spans="1:64" s="19" customFormat="1" ht="26.25" customHeight="1" x14ac:dyDescent="0.2">
      <c r="A341" s="292" t="s">
        <v>28</v>
      </c>
      <c r="B341" s="300" t="s">
        <v>209</v>
      </c>
      <c r="C341" s="298" t="s">
        <v>202</v>
      </c>
      <c r="D341" s="145">
        <f>142.86*1.05</f>
        <v>150</v>
      </c>
      <c r="E341" s="16">
        <f>D341*20%</f>
        <v>30</v>
      </c>
      <c r="F341" s="295">
        <f>D341+E341</f>
        <v>180</v>
      </c>
      <c r="G341" s="3"/>
      <c r="H341" s="4"/>
      <c r="I341" s="72"/>
      <c r="J341" s="4"/>
      <c r="K341" s="42"/>
      <c r="L341" s="4"/>
      <c r="M341" s="4"/>
      <c r="N341" s="4"/>
      <c r="O341" s="4"/>
      <c r="Y341" s="153"/>
      <c r="BI341" s="154"/>
      <c r="BJ341" s="20"/>
    </row>
    <row r="342" spans="1:64" s="19" customFormat="1" ht="26.25" customHeight="1" x14ac:dyDescent="0.2">
      <c r="A342" s="155"/>
      <c r="B342" s="82"/>
      <c r="C342" s="72"/>
      <c r="D342" s="154"/>
      <c r="E342" s="143"/>
      <c r="F342" s="143"/>
      <c r="G342" s="3"/>
      <c r="H342" s="4"/>
      <c r="I342" s="72"/>
      <c r="J342" s="4"/>
      <c r="K342" s="42"/>
      <c r="L342" s="4"/>
      <c r="M342" s="4"/>
      <c r="N342" s="4"/>
      <c r="O342" s="4"/>
      <c r="Y342" s="153"/>
      <c r="BI342" s="154"/>
      <c r="BJ342" s="20"/>
    </row>
    <row r="343" spans="1:64" s="19" customFormat="1" ht="18" customHeight="1" x14ac:dyDescent="0.2">
      <c r="A343" s="340" t="s">
        <v>210</v>
      </c>
      <c r="B343" s="340"/>
      <c r="C343" s="340"/>
      <c r="D343" s="340"/>
      <c r="E343" s="340"/>
      <c r="F343" s="340"/>
      <c r="G343" s="340"/>
      <c r="H343" s="4"/>
      <c r="I343" s="72"/>
      <c r="J343" s="4"/>
      <c r="K343" s="42"/>
      <c r="L343" s="4"/>
      <c r="M343" s="4"/>
      <c r="N343" s="4"/>
      <c r="O343" s="4"/>
      <c r="Y343" s="153"/>
      <c r="BI343" s="154"/>
      <c r="BJ343" s="20"/>
    </row>
    <row r="344" spans="1:64" s="19" customFormat="1" ht="7.5" customHeight="1" x14ac:dyDescent="0.2">
      <c r="A344" s="156"/>
      <c r="B344" s="156"/>
      <c r="C344" s="156"/>
      <c r="D344" s="156"/>
      <c r="E344" s="156"/>
      <c r="F344" s="156"/>
      <c r="G344" s="156"/>
      <c r="H344" s="4"/>
      <c r="I344" s="72"/>
      <c r="J344" s="4"/>
      <c r="K344" s="42"/>
      <c r="L344" s="4"/>
      <c r="M344" s="4"/>
      <c r="N344" s="4"/>
      <c r="O344" s="4"/>
      <c r="Y344" s="153"/>
      <c r="BI344" s="154"/>
      <c r="BJ344" s="20"/>
    </row>
    <row r="345" spans="1:64" s="19" customFormat="1" ht="72.75" customHeight="1" x14ac:dyDescent="0.2">
      <c r="A345" s="292" t="s">
        <v>3</v>
      </c>
      <c r="B345" s="296" t="s">
        <v>4</v>
      </c>
      <c r="C345" s="296" t="s">
        <v>5</v>
      </c>
      <c r="D345" s="296" t="s">
        <v>6</v>
      </c>
      <c r="E345" s="296" t="s">
        <v>7</v>
      </c>
      <c r="F345" s="8" t="s">
        <v>8</v>
      </c>
      <c r="G345" s="296" t="s">
        <v>9</v>
      </c>
      <c r="H345" s="4"/>
      <c r="I345" s="72"/>
      <c r="J345" s="4"/>
      <c r="K345" s="42"/>
      <c r="L345" s="4"/>
      <c r="M345" s="4"/>
      <c r="N345" s="4"/>
      <c r="O345" s="4"/>
      <c r="Y345" s="153"/>
      <c r="BI345" s="154"/>
      <c r="BJ345" s="20"/>
    </row>
    <row r="346" spans="1:64" s="19" customFormat="1" ht="16.5" customHeight="1" x14ac:dyDescent="0.2">
      <c r="A346" s="292">
        <v>1</v>
      </c>
      <c r="B346" s="296">
        <v>2</v>
      </c>
      <c r="C346" s="296">
        <v>3</v>
      </c>
      <c r="D346" s="296">
        <v>4</v>
      </c>
      <c r="E346" s="296">
        <v>5</v>
      </c>
      <c r="F346" s="296">
        <v>6</v>
      </c>
      <c r="G346" s="296">
        <v>7</v>
      </c>
      <c r="H346" s="4"/>
      <c r="I346" s="72"/>
      <c r="J346" s="4"/>
      <c r="K346" s="42"/>
      <c r="L346" s="4"/>
      <c r="M346" s="4"/>
      <c r="N346" s="4"/>
      <c r="O346" s="4"/>
      <c r="Y346" s="153"/>
      <c r="BI346" s="154"/>
      <c r="BJ346" s="20"/>
    </row>
    <row r="347" spans="1:64" s="19" customFormat="1" ht="46.5" customHeight="1" x14ac:dyDescent="0.2">
      <c r="A347" s="356" t="s">
        <v>11</v>
      </c>
      <c r="B347" s="324" t="s">
        <v>211</v>
      </c>
      <c r="C347" s="277" t="s">
        <v>13</v>
      </c>
      <c r="D347" s="14" t="s">
        <v>14</v>
      </c>
      <c r="E347" s="15">
        <f>2007.25*1.05</f>
        <v>2107.61</v>
      </c>
      <c r="F347" s="16">
        <f t="shared" ref="F347:F367" si="18">E347*20%</f>
        <v>421.52</v>
      </c>
      <c r="G347" s="16">
        <f>E347+F347</f>
        <v>2529.13</v>
      </c>
      <c r="H347" s="4"/>
      <c r="I347" s="72"/>
      <c r="J347" s="4"/>
      <c r="K347" s="42"/>
      <c r="L347" s="4"/>
      <c r="M347" s="4"/>
      <c r="N347" s="4"/>
      <c r="O347" s="4"/>
      <c r="Y347" s="153"/>
      <c r="BI347" s="154"/>
      <c r="BJ347" s="20"/>
    </row>
    <row r="348" spans="1:64" s="19" customFormat="1" ht="19.5" customHeight="1" x14ac:dyDescent="0.2">
      <c r="A348" s="356"/>
      <c r="B348" s="324"/>
      <c r="C348" s="277" t="s">
        <v>15</v>
      </c>
      <c r="D348" s="277" t="s">
        <v>16</v>
      </c>
      <c r="E348" s="15">
        <f>720*1.05</f>
        <v>756</v>
      </c>
      <c r="F348" s="16">
        <f t="shared" si="18"/>
        <v>151.19999999999999</v>
      </c>
      <c r="G348" s="16">
        <f t="shared" ref="G348:G360" si="19">E348+F348</f>
        <v>907.2</v>
      </c>
      <c r="H348" s="4"/>
      <c r="I348" s="72"/>
      <c r="J348" s="4"/>
      <c r="K348" s="42"/>
      <c r="L348" s="4"/>
      <c r="M348" s="4"/>
      <c r="N348" s="4"/>
      <c r="O348" s="4"/>
      <c r="Y348" s="153"/>
      <c r="BI348" s="154"/>
      <c r="BJ348" s="20"/>
    </row>
    <row r="349" spans="1:64" s="19" customFormat="1" ht="26.25" customHeight="1" x14ac:dyDescent="0.2">
      <c r="A349" s="356"/>
      <c r="B349" s="324"/>
      <c r="C349" s="14" t="s">
        <v>212</v>
      </c>
      <c r="D349" s="277" t="s">
        <v>16</v>
      </c>
      <c r="E349" s="15">
        <f>277.25*1.05</f>
        <v>291.11</v>
      </c>
      <c r="F349" s="16">
        <f t="shared" si="18"/>
        <v>58.22</v>
      </c>
      <c r="G349" s="16">
        <f t="shared" si="19"/>
        <v>349.33</v>
      </c>
      <c r="H349" s="4"/>
      <c r="I349" s="72"/>
      <c r="J349" s="4"/>
      <c r="K349" s="42"/>
      <c r="L349" s="4"/>
      <c r="M349" s="4"/>
      <c r="N349" s="4"/>
      <c r="O349" s="4"/>
      <c r="Y349" s="153"/>
      <c r="BI349" s="154"/>
      <c r="BJ349" s="20"/>
    </row>
    <row r="350" spans="1:64" s="19" customFormat="1" ht="33.75" customHeight="1" x14ac:dyDescent="0.2">
      <c r="A350" s="356"/>
      <c r="B350" s="324"/>
      <c r="C350" s="14" t="s">
        <v>213</v>
      </c>
      <c r="D350" s="277" t="s">
        <v>16</v>
      </c>
      <c r="E350" s="15">
        <f>480.45*1.05</f>
        <v>504.47</v>
      </c>
      <c r="F350" s="16">
        <f t="shared" si="18"/>
        <v>100.89</v>
      </c>
      <c r="G350" s="16">
        <f t="shared" si="19"/>
        <v>605.36</v>
      </c>
      <c r="H350" s="4"/>
      <c r="I350" s="72"/>
      <c r="J350" s="4"/>
      <c r="K350" s="42"/>
      <c r="L350" s="4"/>
      <c r="M350" s="4"/>
      <c r="N350" s="4"/>
      <c r="O350" s="4"/>
      <c r="Y350" s="153"/>
      <c r="BI350" s="154"/>
      <c r="BJ350" s="20"/>
    </row>
    <row r="351" spans="1:64" s="19" customFormat="1" ht="34.5" customHeight="1" x14ac:dyDescent="0.2">
      <c r="A351" s="356"/>
      <c r="B351" s="324"/>
      <c r="C351" s="14" t="s">
        <v>214</v>
      </c>
      <c r="D351" s="277" t="s">
        <v>16</v>
      </c>
      <c r="E351" s="15">
        <f>478.92*1.05</f>
        <v>502.87</v>
      </c>
      <c r="F351" s="16">
        <f t="shared" si="18"/>
        <v>100.57</v>
      </c>
      <c r="G351" s="16">
        <f t="shared" si="19"/>
        <v>603.44000000000005</v>
      </c>
      <c r="H351" s="4"/>
      <c r="I351" s="72"/>
      <c r="J351" s="4"/>
      <c r="K351" s="42"/>
      <c r="L351" s="4"/>
      <c r="M351" s="4"/>
      <c r="N351" s="4"/>
      <c r="O351" s="4"/>
      <c r="Y351" s="153"/>
      <c r="BI351" s="154"/>
      <c r="BJ351" s="20"/>
    </row>
    <row r="352" spans="1:64" s="19" customFormat="1" ht="39" customHeight="1" x14ac:dyDescent="0.2">
      <c r="A352" s="356"/>
      <c r="B352" s="324"/>
      <c r="C352" s="25" t="s">
        <v>215</v>
      </c>
      <c r="D352" s="277" t="s">
        <v>16</v>
      </c>
      <c r="E352" s="15">
        <f>185.4*1.05</f>
        <v>194.67</v>
      </c>
      <c r="F352" s="16">
        <f t="shared" si="18"/>
        <v>38.93</v>
      </c>
      <c r="G352" s="16">
        <f t="shared" si="19"/>
        <v>233.6</v>
      </c>
      <c r="H352" s="4"/>
      <c r="I352" s="72"/>
      <c r="J352" s="4"/>
      <c r="K352" s="42"/>
      <c r="L352" s="4"/>
      <c r="M352" s="4"/>
      <c r="N352" s="4"/>
      <c r="O352" s="4"/>
      <c r="Y352" s="153"/>
      <c r="BI352" s="154"/>
      <c r="BJ352" s="20"/>
    </row>
    <row r="353" spans="1:62" s="19" customFormat="1" ht="26.25" customHeight="1" x14ac:dyDescent="0.2">
      <c r="A353" s="299"/>
      <c r="B353" s="305"/>
      <c r="C353" s="25" t="s">
        <v>216</v>
      </c>
      <c r="D353" s="277" t="s">
        <v>16</v>
      </c>
      <c r="E353" s="15">
        <f>587.21*1.05</f>
        <v>616.57000000000005</v>
      </c>
      <c r="F353" s="16">
        <f t="shared" si="18"/>
        <v>123.31</v>
      </c>
      <c r="G353" s="16">
        <f t="shared" si="19"/>
        <v>739.88</v>
      </c>
      <c r="H353" s="4"/>
      <c r="I353" s="72"/>
      <c r="J353" s="4"/>
      <c r="K353" s="42"/>
      <c r="L353" s="4"/>
      <c r="M353" s="4"/>
      <c r="N353" s="4"/>
      <c r="O353" s="4"/>
      <c r="Y353" s="153"/>
      <c r="BI353" s="154"/>
      <c r="BJ353" s="20"/>
    </row>
    <row r="354" spans="1:62" s="19" customFormat="1" ht="43.5" customHeight="1" x14ac:dyDescent="0.2">
      <c r="A354" s="356" t="s">
        <v>23</v>
      </c>
      <c r="B354" s="324" t="s">
        <v>217</v>
      </c>
      <c r="C354" s="277" t="s">
        <v>13</v>
      </c>
      <c r="D354" s="14" t="s">
        <v>14</v>
      </c>
      <c r="E354" s="15">
        <f>2108.66*1.05</f>
        <v>2214.09</v>
      </c>
      <c r="F354" s="16">
        <f t="shared" si="18"/>
        <v>442.82</v>
      </c>
      <c r="G354" s="16">
        <f t="shared" si="19"/>
        <v>2656.91</v>
      </c>
      <c r="H354" s="4"/>
      <c r="I354" s="72"/>
      <c r="J354" s="4"/>
      <c r="K354" s="42"/>
      <c r="L354" s="4"/>
      <c r="M354" s="4"/>
      <c r="N354" s="4"/>
      <c r="O354" s="4"/>
      <c r="Y354" s="153"/>
      <c r="BI354" s="154"/>
      <c r="BJ354" s="20"/>
    </row>
    <row r="355" spans="1:62" s="19" customFormat="1" ht="26.25" customHeight="1" x14ac:dyDescent="0.2">
      <c r="A355" s="356"/>
      <c r="B355" s="324"/>
      <c r="C355" s="277" t="s">
        <v>25</v>
      </c>
      <c r="D355" s="277" t="s">
        <v>16</v>
      </c>
      <c r="E355" s="15">
        <f>812.65*1.05</f>
        <v>853.28</v>
      </c>
      <c r="F355" s="16">
        <f t="shared" si="18"/>
        <v>170.66</v>
      </c>
      <c r="G355" s="16">
        <f t="shared" si="19"/>
        <v>1023.94</v>
      </c>
      <c r="H355" s="4"/>
      <c r="I355" s="72"/>
      <c r="J355" s="4"/>
      <c r="K355" s="42"/>
      <c r="L355" s="4"/>
      <c r="M355" s="4"/>
      <c r="N355" s="4"/>
      <c r="O355" s="4"/>
      <c r="Y355" s="153"/>
      <c r="BI355" s="154"/>
      <c r="BJ355" s="20"/>
    </row>
    <row r="356" spans="1:62" s="19" customFormat="1" ht="26.25" customHeight="1" x14ac:dyDescent="0.2">
      <c r="A356" s="356"/>
      <c r="B356" s="324"/>
      <c r="C356" s="14" t="s">
        <v>218</v>
      </c>
      <c r="D356" s="277" t="s">
        <v>16</v>
      </c>
      <c r="E356" s="15">
        <f>277.25*1.05</f>
        <v>291.11</v>
      </c>
      <c r="F356" s="16">
        <f t="shared" si="18"/>
        <v>58.22</v>
      </c>
      <c r="G356" s="16">
        <f t="shared" si="19"/>
        <v>349.33</v>
      </c>
      <c r="H356" s="4"/>
      <c r="I356" s="72"/>
      <c r="J356" s="4"/>
      <c r="K356" s="42"/>
      <c r="L356" s="4"/>
      <c r="M356" s="4"/>
      <c r="N356" s="4"/>
      <c r="O356" s="4"/>
      <c r="Y356" s="153"/>
      <c r="BI356" s="154"/>
      <c r="BJ356" s="20"/>
    </row>
    <row r="357" spans="1:62" s="19" customFormat="1" ht="34.5" customHeight="1" x14ac:dyDescent="0.2">
      <c r="A357" s="356"/>
      <c r="B357" s="324"/>
      <c r="C357" s="14" t="s">
        <v>219</v>
      </c>
      <c r="D357" s="277" t="s">
        <v>16</v>
      </c>
      <c r="E357" s="15">
        <f>480.45*1.05</f>
        <v>504.47</v>
      </c>
      <c r="F357" s="16">
        <f t="shared" si="18"/>
        <v>100.89</v>
      </c>
      <c r="G357" s="16">
        <f t="shared" si="19"/>
        <v>605.36</v>
      </c>
      <c r="H357" s="4"/>
      <c r="I357" s="72"/>
      <c r="J357" s="4"/>
      <c r="K357" s="42"/>
      <c r="L357" s="4"/>
      <c r="M357" s="4"/>
      <c r="N357" s="4"/>
      <c r="O357" s="4"/>
      <c r="Y357" s="153"/>
      <c r="BI357" s="154"/>
      <c r="BJ357" s="20"/>
    </row>
    <row r="358" spans="1:62" s="19" customFormat="1" ht="37.5" customHeight="1" x14ac:dyDescent="0.2">
      <c r="A358" s="356"/>
      <c r="B358" s="324"/>
      <c r="C358" s="14" t="s">
        <v>220</v>
      </c>
      <c r="D358" s="277" t="s">
        <v>16</v>
      </c>
      <c r="E358" s="15">
        <f>478.92*1.05</f>
        <v>502.87</v>
      </c>
      <c r="F358" s="16">
        <f t="shared" si="18"/>
        <v>100.57</v>
      </c>
      <c r="G358" s="16">
        <f t="shared" si="19"/>
        <v>603.44000000000005</v>
      </c>
      <c r="H358" s="4"/>
      <c r="I358" s="72"/>
      <c r="J358" s="4"/>
      <c r="K358" s="42"/>
      <c r="L358" s="4"/>
      <c r="M358" s="4"/>
      <c r="N358" s="4"/>
      <c r="O358" s="4"/>
      <c r="Y358" s="153"/>
      <c r="BI358" s="154"/>
      <c r="BJ358" s="20"/>
    </row>
    <row r="359" spans="1:62" s="19" customFormat="1" ht="38.25" customHeight="1" x14ac:dyDescent="0.2">
      <c r="A359" s="356"/>
      <c r="B359" s="324"/>
      <c r="C359" s="25" t="s">
        <v>221</v>
      </c>
      <c r="D359" s="277" t="s">
        <v>16</v>
      </c>
      <c r="E359" s="15">
        <f>185.4*1.05</f>
        <v>194.67</v>
      </c>
      <c r="F359" s="16">
        <f t="shared" si="18"/>
        <v>38.93</v>
      </c>
      <c r="G359" s="16">
        <f t="shared" si="19"/>
        <v>233.6</v>
      </c>
      <c r="H359" s="4"/>
      <c r="I359" s="72"/>
      <c r="J359" s="4"/>
      <c r="K359" s="42"/>
      <c r="L359" s="4"/>
      <c r="M359" s="4"/>
      <c r="N359" s="4"/>
      <c r="O359" s="4"/>
      <c r="Y359" s="153"/>
      <c r="BI359" s="154"/>
      <c r="BJ359" s="20"/>
    </row>
    <row r="360" spans="1:62" s="19" customFormat="1" ht="29.25" customHeight="1" x14ac:dyDescent="0.2">
      <c r="A360" s="356"/>
      <c r="B360" s="324"/>
      <c r="C360" s="25" t="s">
        <v>216</v>
      </c>
      <c r="D360" s="277" t="s">
        <v>16</v>
      </c>
      <c r="E360" s="15">
        <f>587.21*1.05</f>
        <v>616.57000000000005</v>
      </c>
      <c r="F360" s="16">
        <f t="shared" si="18"/>
        <v>123.31</v>
      </c>
      <c r="G360" s="16">
        <f t="shared" si="19"/>
        <v>739.88</v>
      </c>
      <c r="H360" s="4"/>
      <c r="I360" s="72"/>
      <c r="J360" s="4"/>
      <c r="K360" s="42"/>
      <c r="L360" s="4"/>
      <c r="M360" s="4"/>
      <c r="N360" s="4"/>
      <c r="O360" s="4"/>
      <c r="Y360" s="153"/>
      <c r="BI360" s="154"/>
      <c r="BJ360" s="20"/>
    </row>
    <row r="361" spans="1:62" s="19" customFormat="1" ht="26.25" customHeight="1" x14ac:dyDescent="0.2">
      <c r="A361" s="356" t="s">
        <v>26</v>
      </c>
      <c r="B361" s="324" t="s">
        <v>222</v>
      </c>
      <c r="C361" s="277" t="s">
        <v>13</v>
      </c>
      <c r="D361" s="14" t="s">
        <v>14</v>
      </c>
      <c r="E361" s="15">
        <f>2205.45*1.05</f>
        <v>2315.7199999999998</v>
      </c>
      <c r="F361" s="16">
        <f t="shared" si="18"/>
        <v>463.14</v>
      </c>
      <c r="G361" s="16">
        <f>E361+F361</f>
        <v>2778.86</v>
      </c>
      <c r="H361" s="4"/>
      <c r="I361" s="72"/>
      <c r="J361" s="4"/>
      <c r="K361" s="42"/>
      <c r="L361" s="4"/>
      <c r="M361" s="4"/>
      <c r="N361" s="4"/>
      <c r="O361" s="4"/>
      <c r="Y361" s="153"/>
      <c r="BI361" s="154"/>
      <c r="BJ361" s="20"/>
    </row>
    <row r="362" spans="1:62" s="19" customFormat="1" ht="26.25" customHeight="1" x14ac:dyDescent="0.2">
      <c r="A362" s="356"/>
      <c r="B362" s="324"/>
      <c r="C362" s="277" t="s">
        <v>15</v>
      </c>
      <c r="D362" s="277" t="s">
        <v>16</v>
      </c>
      <c r="E362" s="15">
        <f>812.65*1.05</f>
        <v>853.28</v>
      </c>
      <c r="F362" s="16">
        <f t="shared" si="18"/>
        <v>170.66</v>
      </c>
      <c r="G362" s="16">
        <f t="shared" ref="G362:G367" si="20">E362+F362</f>
        <v>1023.94</v>
      </c>
      <c r="H362" s="4"/>
      <c r="I362" s="72"/>
      <c r="J362" s="4"/>
      <c r="K362" s="42"/>
      <c r="L362" s="4"/>
      <c r="M362" s="4"/>
      <c r="N362" s="4"/>
      <c r="O362" s="4"/>
      <c r="Y362" s="153"/>
      <c r="BI362" s="154"/>
      <c r="BJ362" s="20"/>
    </row>
    <row r="363" spans="1:62" s="19" customFormat="1" ht="26.25" customHeight="1" x14ac:dyDescent="0.2">
      <c r="A363" s="356"/>
      <c r="B363" s="324"/>
      <c r="C363" s="14" t="s">
        <v>212</v>
      </c>
      <c r="D363" s="277" t="s">
        <v>16</v>
      </c>
      <c r="E363" s="15">
        <f>277.25*1.05</f>
        <v>291.11</v>
      </c>
      <c r="F363" s="16">
        <f t="shared" si="18"/>
        <v>58.22</v>
      </c>
      <c r="G363" s="16">
        <f t="shared" si="20"/>
        <v>349.33</v>
      </c>
      <c r="H363" s="4"/>
      <c r="I363" s="72"/>
      <c r="J363" s="4"/>
      <c r="K363" s="42"/>
      <c r="L363" s="4"/>
      <c r="M363" s="4"/>
      <c r="N363" s="4"/>
      <c r="O363" s="4"/>
      <c r="Y363" s="153"/>
      <c r="BI363" s="154"/>
      <c r="BJ363" s="20"/>
    </row>
    <row r="364" spans="1:62" s="19" customFormat="1" ht="35.25" customHeight="1" x14ac:dyDescent="0.2">
      <c r="A364" s="356"/>
      <c r="B364" s="324"/>
      <c r="C364" s="14" t="s">
        <v>213</v>
      </c>
      <c r="D364" s="277" t="s">
        <v>16</v>
      </c>
      <c r="E364" s="15">
        <f>480.45*1.05</f>
        <v>504.47</v>
      </c>
      <c r="F364" s="16">
        <f t="shared" si="18"/>
        <v>100.89</v>
      </c>
      <c r="G364" s="16">
        <f t="shared" si="20"/>
        <v>605.36</v>
      </c>
      <c r="H364" s="4"/>
      <c r="I364" s="72"/>
      <c r="J364" s="4"/>
      <c r="K364" s="42"/>
      <c r="L364" s="4"/>
      <c r="M364" s="4"/>
      <c r="N364" s="4"/>
      <c r="O364" s="4"/>
      <c r="Y364" s="153"/>
      <c r="BI364" s="154"/>
      <c r="BJ364" s="20"/>
    </row>
    <row r="365" spans="1:62" s="19" customFormat="1" ht="33" customHeight="1" x14ac:dyDescent="0.2">
      <c r="A365" s="356"/>
      <c r="B365" s="324"/>
      <c r="C365" s="14" t="s">
        <v>214</v>
      </c>
      <c r="D365" s="277" t="s">
        <v>16</v>
      </c>
      <c r="E365" s="15">
        <f>670*1.05</f>
        <v>703.5</v>
      </c>
      <c r="F365" s="16">
        <f t="shared" si="18"/>
        <v>140.69999999999999</v>
      </c>
      <c r="G365" s="16">
        <f t="shared" si="20"/>
        <v>844.2</v>
      </c>
      <c r="H365" s="4"/>
      <c r="I365" s="72"/>
      <c r="J365" s="4"/>
      <c r="K365" s="42"/>
      <c r="L365" s="4"/>
      <c r="M365" s="4"/>
      <c r="N365" s="4"/>
      <c r="O365" s="4"/>
      <c r="Y365" s="153"/>
      <c r="BI365" s="154"/>
      <c r="BJ365" s="20"/>
    </row>
    <row r="366" spans="1:62" s="19" customFormat="1" ht="34.5" customHeight="1" x14ac:dyDescent="0.2">
      <c r="A366" s="356"/>
      <c r="B366" s="324"/>
      <c r="C366" s="25" t="s">
        <v>215</v>
      </c>
      <c r="D366" s="277" t="s">
        <v>16</v>
      </c>
      <c r="E366" s="15">
        <f>185.4*1.05</f>
        <v>194.67</v>
      </c>
      <c r="F366" s="16">
        <f t="shared" si="18"/>
        <v>38.93</v>
      </c>
      <c r="G366" s="16">
        <f t="shared" si="20"/>
        <v>233.6</v>
      </c>
      <c r="H366" s="4"/>
      <c r="I366" s="72"/>
      <c r="J366" s="4"/>
      <c r="K366" s="42"/>
      <c r="L366" s="4"/>
      <c r="M366" s="4"/>
      <c r="N366" s="4"/>
      <c r="O366" s="4"/>
      <c r="Y366" s="153"/>
      <c r="BI366" s="154"/>
      <c r="BJ366" s="20"/>
    </row>
    <row r="367" spans="1:62" s="19" customFormat="1" ht="26.25" customHeight="1" x14ac:dyDescent="0.2">
      <c r="A367" s="356"/>
      <c r="B367" s="324"/>
      <c r="C367" s="25" t="s">
        <v>216</v>
      </c>
      <c r="D367" s="277" t="s">
        <v>16</v>
      </c>
      <c r="E367" s="15">
        <f>587.21*1.05</f>
        <v>616.57000000000005</v>
      </c>
      <c r="F367" s="16">
        <f t="shared" si="18"/>
        <v>123.31</v>
      </c>
      <c r="G367" s="16">
        <f t="shared" si="20"/>
        <v>739.88</v>
      </c>
      <c r="H367" s="4"/>
      <c r="I367" s="72"/>
      <c r="J367" s="4"/>
      <c r="K367" s="42"/>
      <c r="L367" s="4"/>
      <c r="M367" s="4"/>
      <c r="N367" s="4"/>
      <c r="O367" s="4"/>
      <c r="Y367" s="153"/>
      <c r="BI367" s="154"/>
      <c r="BJ367" s="20"/>
    </row>
    <row r="368" spans="1:62" s="19" customFormat="1" ht="67.5" customHeight="1" x14ac:dyDescent="0.2">
      <c r="A368" s="292" t="s">
        <v>223</v>
      </c>
      <c r="B368" s="296" t="s">
        <v>194</v>
      </c>
      <c r="C368" s="351" t="s">
        <v>6</v>
      </c>
      <c r="D368" s="351"/>
      <c r="E368" s="157" t="s">
        <v>7</v>
      </c>
      <c r="F368" s="158" t="s">
        <v>8</v>
      </c>
      <c r="G368" s="157" t="s">
        <v>9</v>
      </c>
      <c r="H368" s="4"/>
      <c r="I368" s="72"/>
      <c r="J368" s="4"/>
      <c r="K368" s="42"/>
      <c r="L368" s="4"/>
      <c r="M368" s="4"/>
      <c r="N368" s="4"/>
      <c r="O368" s="4"/>
      <c r="Y368" s="153"/>
      <c r="BI368" s="154"/>
      <c r="BJ368" s="20"/>
    </row>
    <row r="369" spans="1:62" s="19" customFormat="1" ht="33.75" customHeight="1" x14ac:dyDescent="0.2">
      <c r="A369" s="292" t="s">
        <v>198</v>
      </c>
      <c r="B369" s="159" t="s">
        <v>224</v>
      </c>
      <c r="C369" s="353" t="s">
        <v>225</v>
      </c>
      <c r="D369" s="353"/>
      <c r="E369" s="15">
        <f>1600*1.05</f>
        <v>1680</v>
      </c>
      <c r="F369" s="16">
        <f>E369*20%</f>
        <v>336</v>
      </c>
      <c r="G369" s="16">
        <f>E369+F369</f>
        <v>2016</v>
      </c>
      <c r="H369" s="4"/>
      <c r="I369" s="72"/>
      <c r="J369" s="4"/>
      <c r="K369" s="42"/>
      <c r="L369" s="4"/>
      <c r="M369" s="4"/>
      <c r="N369" s="4"/>
      <c r="O369" s="4"/>
      <c r="Y369" s="153"/>
      <c r="BI369" s="154"/>
      <c r="BJ369" s="20"/>
    </row>
    <row r="370" spans="1:62" s="19" customFormat="1" ht="32.25" customHeight="1" x14ac:dyDescent="0.2">
      <c r="A370" s="292" t="s">
        <v>226</v>
      </c>
      <c r="B370" s="160" t="s">
        <v>227</v>
      </c>
      <c r="C370" s="353" t="s">
        <v>16</v>
      </c>
      <c r="D370" s="353"/>
      <c r="E370" s="15">
        <f>397.38*1.05</f>
        <v>417.25</v>
      </c>
      <c r="F370" s="16">
        <f>E370*20%</f>
        <v>83.45</v>
      </c>
      <c r="G370" s="16">
        <f>E370+F370</f>
        <v>500.7</v>
      </c>
      <c r="H370" s="4"/>
      <c r="I370" s="72"/>
      <c r="J370" s="4"/>
      <c r="K370" s="42"/>
      <c r="L370" s="4"/>
      <c r="M370" s="4"/>
      <c r="N370" s="4"/>
      <c r="O370" s="4"/>
      <c r="Y370" s="153"/>
      <c r="BI370" s="154"/>
      <c r="BJ370" s="20"/>
    </row>
    <row r="371" spans="1:62" s="19" customFormat="1" ht="24" customHeight="1" x14ac:dyDescent="0.2">
      <c r="A371" s="354" t="s">
        <v>228</v>
      </c>
      <c r="B371" s="340"/>
      <c r="C371" s="340"/>
      <c r="D371" s="340"/>
      <c r="E371" s="340"/>
      <c r="F371" s="340"/>
      <c r="G371" s="355"/>
      <c r="H371" s="4"/>
      <c r="I371" s="72"/>
      <c r="J371" s="4"/>
      <c r="K371" s="42"/>
      <c r="L371" s="4"/>
      <c r="M371" s="4"/>
      <c r="N371" s="4"/>
      <c r="O371" s="4"/>
      <c r="Y371" s="153"/>
      <c r="BI371" s="154"/>
      <c r="BJ371" s="20"/>
    </row>
    <row r="372" spans="1:62" s="19" customFormat="1" ht="68.25" customHeight="1" x14ac:dyDescent="0.2">
      <c r="A372" s="292" t="s">
        <v>3</v>
      </c>
      <c r="B372" s="296" t="s">
        <v>194</v>
      </c>
      <c r="C372" s="296" t="s">
        <v>6</v>
      </c>
      <c r="D372" s="296" t="s">
        <v>7</v>
      </c>
      <c r="E372" s="8" t="s">
        <v>8</v>
      </c>
      <c r="F372" s="351" t="s">
        <v>9</v>
      </c>
      <c r="G372" s="351"/>
      <c r="H372" s="4"/>
      <c r="I372" s="72"/>
      <c r="J372" s="4"/>
      <c r="K372" s="42"/>
      <c r="L372" s="4"/>
      <c r="M372" s="4"/>
      <c r="N372" s="4"/>
      <c r="O372" s="4"/>
      <c r="Y372" s="153"/>
      <c r="BI372" s="154"/>
      <c r="BJ372" s="20"/>
    </row>
    <row r="373" spans="1:62" s="19" customFormat="1" ht="17.25" customHeight="1" x14ac:dyDescent="0.2">
      <c r="A373" s="161" t="s">
        <v>195</v>
      </c>
      <c r="B373" s="106" t="s">
        <v>196</v>
      </c>
      <c r="C373" s="106" t="s">
        <v>197</v>
      </c>
      <c r="D373" s="106" t="s">
        <v>198</v>
      </c>
      <c r="E373" s="297">
        <v>5</v>
      </c>
      <c r="F373" s="352">
        <v>6</v>
      </c>
      <c r="G373" s="352"/>
      <c r="H373" s="4"/>
      <c r="I373" s="72"/>
      <c r="J373" s="4"/>
      <c r="K373" s="42"/>
      <c r="L373" s="4"/>
      <c r="M373" s="4"/>
      <c r="N373" s="4"/>
      <c r="O373" s="4"/>
      <c r="Y373" s="153"/>
      <c r="BI373" s="154"/>
      <c r="BJ373" s="20"/>
    </row>
    <row r="374" spans="1:62" s="19" customFormat="1" ht="45" customHeight="1" x14ac:dyDescent="0.2">
      <c r="A374" s="292" t="s">
        <v>11</v>
      </c>
      <c r="B374" s="300" t="s">
        <v>229</v>
      </c>
      <c r="C374" s="298" t="s">
        <v>230</v>
      </c>
      <c r="D374" s="145">
        <f>2614.9*1.05</f>
        <v>2745.65</v>
      </c>
      <c r="E374" s="16">
        <f>D374*20%</f>
        <v>549.13</v>
      </c>
      <c r="F374" s="350">
        <f>D374+E374</f>
        <v>3294.78</v>
      </c>
      <c r="G374" s="350"/>
      <c r="H374" s="77" t="s">
        <v>124</v>
      </c>
      <c r="I374" s="72"/>
      <c r="J374" s="4"/>
      <c r="K374" s="42"/>
      <c r="L374" s="4"/>
      <c r="M374" s="4"/>
      <c r="N374" s="4"/>
      <c r="O374" s="4"/>
      <c r="Y374" s="153"/>
      <c r="BI374" s="154"/>
      <c r="BJ374" s="20"/>
    </row>
    <row r="375" spans="1:62" s="19" customFormat="1" ht="35.25" customHeight="1" x14ac:dyDescent="0.2">
      <c r="A375" s="292" t="s">
        <v>231</v>
      </c>
      <c r="B375" s="300" t="s">
        <v>232</v>
      </c>
      <c r="C375" s="298" t="s">
        <v>230</v>
      </c>
      <c r="D375" s="145">
        <f>2594.26*1.05</f>
        <v>2723.97</v>
      </c>
      <c r="E375" s="16">
        <f>D375*20%</f>
        <v>544.79</v>
      </c>
      <c r="F375" s="350">
        <f>D375+E375</f>
        <v>3268.76</v>
      </c>
      <c r="G375" s="350"/>
      <c r="H375" s="77" t="s">
        <v>124</v>
      </c>
      <c r="I375" s="72"/>
      <c r="J375" s="4"/>
      <c r="K375" s="42"/>
      <c r="L375" s="4"/>
      <c r="M375" s="4"/>
      <c r="N375" s="4"/>
      <c r="O375" s="4"/>
      <c r="Y375" s="153"/>
      <c r="BI375" s="154"/>
      <c r="BJ375" s="20"/>
    </row>
    <row r="376" spans="1:62" s="19" customFormat="1" ht="30" customHeight="1" x14ac:dyDescent="0.2">
      <c r="A376" s="292" t="s">
        <v>26</v>
      </c>
      <c r="B376" s="300" t="s">
        <v>233</v>
      </c>
      <c r="C376" s="298" t="s">
        <v>230</v>
      </c>
      <c r="D376" s="145">
        <f>2224.57*1.05</f>
        <v>2335.8000000000002</v>
      </c>
      <c r="E376" s="16">
        <f>D376*20%</f>
        <v>467.16</v>
      </c>
      <c r="F376" s="350">
        <f>D376+E376</f>
        <v>2802.96</v>
      </c>
      <c r="G376" s="350"/>
      <c r="H376" s="4"/>
      <c r="I376" s="72"/>
      <c r="J376" s="4"/>
      <c r="K376" s="42"/>
      <c r="L376" s="4"/>
      <c r="M376" s="4"/>
      <c r="N376" s="4"/>
      <c r="O376" s="4"/>
      <c r="Y376" s="153"/>
      <c r="BI376" s="154"/>
      <c r="BJ376" s="20"/>
    </row>
    <row r="377" spans="1:62" s="19" customFormat="1" ht="16.5" customHeight="1" x14ac:dyDescent="0.2">
      <c r="A377" s="340" t="s">
        <v>234</v>
      </c>
      <c r="B377" s="340"/>
      <c r="C377" s="340"/>
      <c r="D377" s="340"/>
      <c r="E377" s="340"/>
      <c r="F377" s="340"/>
      <c r="G377" s="340"/>
      <c r="H377" s="4"/>
      <c r="I377" s="72"/>
      <c r="J377" s="4"/>
      <c r="K377" s="42"/>
      <c r="L377" s="4"/>
      <c r="M377" s="4"/>
      <c r="N377" s="4"/>
      <c r="O377" s="4"/>
      <c r="Y377" s="153"/>
      <c r="BI377" s="154"/>
      <c r="BJ377" s="20"/>
    </row>
    <row r="378" spans="1:62" s="19" customFormat="1" ht="46.5" customHeight="1" x14ac:dyDescent="0.2">
      <c r="A378" s="292" t="s">
        <v>3</v>
      </c>
      <c r="B378" s="296" t="s">
        <v>194</v>
      </c>
      <c r="C378" s="296" t="s">
        <v>6</v>
      </c>
      <c r="D378" s="296" t="s">
        <v>7</v>
      </c>
      <c r="E378" s="8" t="s">
        <v>8</v>
      </c>
      <c r="F378" s="351" t="s">
        <v>9</v>
      </c>
      <c r="G378" s="351"/>
      <c r="H378" s="4"/>
      <c r="I378" s="72"/>
      <c r="J378" s="4"/>
      <c r="K378" s="42"/>
      <c r="L378" s="4"/>
      <c r="M378" s="4"/>
      <c r="N378" s="4"/>
      <c r="O378" s="4"/>
      <c r="Y378" s="153"/>
      <c r="BI378" s="154"/>
      <c r="BJ378" s="20"/>
    </row>
    <row r="379" spans="1:62" s="19" customFormat="1" ht="20.25" customHeight="1" x14ac:dyDescent="0.2">
      <c r="A379" s="161" t="s">
        <v>195</v>
      </c>
      <c r="B379" s="106" t="s">
        <v>196</v>
      </c>
      <c r="C379" s="106" t="s">
        <v>197</v>
      </c>
      <c r="D379" s="106" t="s">
        <v>198</v>
      </c>
      <c r="E379" s="297">
        <v>5</v>
      </c>
      <c r="F379" s="352">
        <v>6</v>
      </c>
      <c r="G379" s="352"/>
      <c r="H379" s="4"/>
      <c r="I379" s="72"/>
      <c r="J379" s="4"/>
      <c r="K379" s="42"/>
      <c r="L379" s="4"/>
      <c r="M379" s="4"/>
      <c r="N379" s="4"/>
      <c r="O379" s="4"/>
      <c r="Y379" s="153"/>
      <c r="BI379" s="154"/>
      <c r="BJ379" s="20"/>
    </row>
    <row r="380" spans="1:62" s="19" customFormat="1" ht="72" customHeight="1" x14ac:dyDescent="0.2">
      <c r="A380" s="292" t="s">
        <v>11</v>
      </c>
      <c r="B380" s="300" t="s">
        <v>235</v>
      </c>
      <c r="C380" s="298" t="s">
        <v>230</v>
      </c>
      <c r="D380" s="145">
        <f>8100.9*1.05</f>
        <v>8505.9500000000007</v>
      </c>
      <c r="E380" s="16">
        <f>D380*20%</f>
        <v>1701.19</v>
      </c>
      <c r="F380" s="350">
        <f>D380+E380</f>
        <v>10207.14</v>
      </c>
      <c r="G380" s="350"/>
      <c r="H380" s="4"/>
      <c r="I380" s="72"/>
      <c r="J380" s="4"/>
      <c r="K380" s="42"/>
      <c r="L380" s="4"/>
      <c r="M380" s="4"/>
      <c r="N380" s="4"/>
      <c r="O380" s="4"/>
      <c r="Y380" s="153"/>
      <c r="BI380" s="154"/>
      <c r="BJ380" s="20"/>
    </row>
    <row r="381" spans="1:62" s="19" customFormat="1" ht="20.25" customHeight="1" x14ac:dyDescent="0.2">
      <c r="A381" s="155"/>
      <c r="B381" s="82"/>
      <c r="C381" s="72"/>
      <c r="D381" s="154"/>
      <c r="E381" s="163"/>
      <c r="F381" s="143"/>
      <c r="G381" s="143"/>
      <c r="H381" s="4"/>
      <c r="I381" s="72"/>
      <c r="J381" s="4"/>
      <c r="K381" s="42"/>
      <c r="L381" s="4"/>
      <c r="M381" s="4"/>
      <c r="N381" s="4"/>
      <c r="O381" s="4"/>
      <c r="Y381" s="153"/>
      <c r="BI381" s="154"/>
      <c r="BJ381" s="20"/>
    </row>
    <row r="382" spans="1:62" s="19" customFormat="1" ht="42" customHeight="1" x14ac:dyDescent="0.2">
      <c r="A382" s="319" t="s">
        <v>236</v>
      </c>
      <c r="B382" s="319"/>
      <c r="C382" s="319"/>
      <c r="D382" s="319"/>
      <c r="E382" s="319"/>
      <c r="F382" s="319"/>
      <c r="G382" s="143"/>
      <c r="H382" s="4"/>
      <c r="I382" s="72"/>
      <c r="J382" s="4"/>
      <c r="K382" s="42"/>
      <c r="L382" s="4"/>
      <c r="M382" s="4"/>
      <c r="N382" s="4"/>
      <c r="O382" s="4"/>
      <c r="Y382" s="153"/>
      <c r="BI382" s="154"/>
      <c r="BJ382" s="20"/>
    </row>
    <row r="383" spans="1:62" s="19" customFormat="1" ht="46.5" customHeight="1" x14ac:dyDescent="0.2">
      <c r="A383" s="292" t="s">
        <v>3</v>
      </c>
      <c r="B383" s="296" t="s">
        <v>194</v>
      </c>
      <c r="C383" s="296" t="s">
        <v>6</v>
      </c>
      <c r="D383" s="296" t="s">
        <v>7</v>
      </c>
      <c r="E383" s="8" t="s">
        <v>8</v>
      </c>
      <c r="F383" s="296" t="s">
        <v>9</v>
      </c>
      <c r="G383" s="143"/>
      <c r="H383" s="4"/>
      <c r="I383" s="72"/>
      <c r="J383" s="4"/>
      <c r="K383" s="42"/>
      <c r="L383" s="4"/>
      <c r="M383" s="4"/>
      <c r="N383" s="4"/>
      <c r="O383" s="4"/>
      <c r="Y383" s="153"/>
      <c r="BI383" s="154"/>
      <c r="BJ383" s="20"/>
    </row>
    <row r="384" spans="1:62" s="19" customFormat="1" ht="19.5" customHeight="1" x14ac:dyDescent="0.2">
      <c r="A384" s="292" t="s">
        <v>195</v>
      </c>
      <c r="B384" s="296" t="s">
        <v>196</v>
      </c>
      <c r="C384" s="296" t="s">
        <v>197</v>
      </c>
      <c r="D384" s="296" t="s">
        <v>198</v>
      </c>
      <c r="E384" s="280">
        <v>5</v>
      </c>
      <c r="F384" s="280">
        <v>6</v>
      </c>
      <c r="G384" s="143"/>
      <c r="H384" s="4"/>
      <c r="I384" s="72"/>
      <c r="J384" s="4"/>
      <c r="K384" s="42"/>
      <c r="L384" s="4"/>
      <c r="M384" s="4"/>
      <c r="N384" s="4"/>
      <c r="O384" s="4"/>
      <c r="Y384" s="153"/>
      <c r="BI384" s="154"/>
      <c r="BJ384" s="20"/>
    </row>
    <row r="385" spans="1:62" s="19" customFormat="1" ht="46.5" customHeight="1" x14ac:dyDescent="0.2">
      <c r="A385" s="337" t="s">
        <v>237</v>
      </c>
      <c r="B385" s="337"/>
      <c r="C385" s="337"/>
      <c r="D385" s="337"/>
      <c r="E385" s="337"/>
      <c r="F385" s="337"/>
      <c r="G385" s="143"/>
      <c r="H385" s="4"/>
      <c r="I385" s="72"/>
      <c r="J385" s="4"/>
      <c r="K385" s="42"/>
      <c r="L385" s="4"/>
      <c r="M385" s="4"/>
      <c r="N385" s="4"/>
      <c r="O385" s="4"/>
      <c r="Y385" s="153"/>
      <c r="BI385" s="154"/>
      <c r="BJ385" s="20"/>
    </row>
    <row r="386" spans="1:62" s="19" customFormat="1" ht="46.5" customHeight="1" x14ac:dyDescent="0.2">
      <c r="A386" s="349" t="s">
        <v>238</v>
      </c>
      <c r="B386" s="349"/>
      <c r="C386" s="349"/>
      <c r="D386" s="349"/>
      <c r="E386" s="349"/>
      <c r="F386" s="349"/>
      <c r="G386" s="143"/>
      <c r="H386" s="4"/>
      <c r="I386" s="72"/>
      <c r="J386" s="4"/>
      <c r="K386" s="42"/>
      <c r="L386" s="4"/>
      <c r="M386" s="4"/>
      <c r="N386" s="4"/>
      <c r="O386" s="4"/>
      <c r="Y386" s="153"/>
      <c r="BI386" s="154"/>
      <c r="BJ386" s="20"/>
    </row>
    <row r="387" spans="1:62" s="19" customFormat="1" ht="37.5" customHeight="1" x14ac:dyDescent="0.2">
      <c r="A387" s="270" t="s">
        <v>195</v>
      </c>
      <c r="B387" s="285" t="s">
        <v>239</v>
      </c>
      <c r="C387" s="298" t="s">
        <v>230</v>
      </c>
      <c r="D387" s="15">
        <f>300.58*1.05</f>
        <v>315.61</v>
      </c>
      <c r="E387" s="16">
        <f>D387*20%</f>
        <v>63.12</v>
      </c>
      <c r="F387" s="164">
        <f>D387+E387</f>
        <v>378.73</v>
      </c>
      <c r="G387" s="143"/>
      <c r="H387" s="4"/>
      <c r="I387" s="72"/>
      <c r="J387" s="4"/>
      <c r="K387" s="42"/>
      <c r="L387" s="4"/>
      <c r="M387" s="4"/>
      <c r="N387" s="4"/>
      <c r="O387" s="4"/>
      <c r="Y387" s="153"/>
      <c r="BI387" s="154"/>
      <c r="BJ387" s="20"/>
    </row>
    <row r="388" spans="1:62" s="19" customFormat="1" ht="36" customHeight="1" x14ac:dyDescent="0.2">
      <c r="A388" s="270" t="s">
        <v>196</v>
      </c>
      <c r="B388" s="165" t="s">
        <v>241</v>
      </c>
      <c r="C388" s="298" t="s">
        <v>230</v>
      </c>
      <c r="D388" s="15">
        <f>376.47*1.05</f>
        <v>395.29</v>
      </c>
      <c r="E388" s="16">
        <f>D388*20%</f>
        <v>79.06</v>
      </c>
      <c r="F388" s="164">
        <f>D388+E388</f>
        <v>474.35</v>
      </c>
      <c r="G388" s="143"/>
      <c r="H388" s="4"/>
      <c r="I388" s="72"/>
      <c r="J388" s="4"/>
      <c r="K388" s="42"/>
      <c r="L388" s="4"/>
      <c r="M388" s="4"/>
      <c r="N388" s="4"/>
      <c r="O388" s="4"/>
      <c r="Y388" s="153"/>
      <c r="BI388" s="154"/>
      <c r="BJ388" s="20"/>
    </row>
    <row r="389" spans="1:62" s="19" customFormat="1" ht="27" customHeight="1" x14ac:dyDescent="0.2">
      <c r="A389" s="270" t="s">
        <v>197</v>
      </c>
      <c r="B389" s="326" t="s">
        <v>242</v>
      </c>
      <c r="C389" s="326"/>
      <c r="D389" s="326"/>
      <c r="E389" s="326"/>
      <c r="F389" s="326"/>
      <c r="G389" s="143"/>
      <c r="H389" s="4"/>
      <c r="I389" s="72"/>
      <c r="J389" s="4"/>
      <c r="K389" s="42"/>
      <c r="L389" s="4"/>
      <c r="M389" s="4"/>
      <c r="N389" s="4"/>
      <c r="O389" s="4"/>
      <c r="Y389" s="153"/>
      <c r="BI389" s="154"/>
      <c r="BJ389" s="20"/>
    </row>
    <row r="390" spans="1:62" s="19" customFormat="1" ht="23.25" customHeight="1" x14ac:dyDescent="0.2">
      <c r="A390" s="270" t="s">
        <v>243</v>
      </c>
      <c r="B390" s="285" t="s">
        <v>244</v>
      </c>
      <c r="C390" s="298" t="s">
        <v>230</v>
      </c>
      <c r="D390" s="15">
        <f t="shared" ref="D390:D397" si="21">593.17*1.05</f>
        <v>622.83000000000004</v>
      </c>
      <c r="E390" s="16">
        <f t="shared" ref="E390:E398" si="22">D390*20%</f>
        <v>124.57</v>
      </c>
      <c r="F390" s="164">
        <f t="shared" ref="F390:F399" si="23">D390+E390</f>
        <v>747.4</v>
      </c>
      <c r="G390" s="143"/>
      <c r="H390" s="4"/>
      <c r="I390" s="72"/>
      <c r="J390" s="4"/>
      <c r="K390" s="42"/>
      <c r="L390" s="4"/>
      <c r="M390" s="4"/>
      <c r="N390" s="4"/>
      <c r="O390" s="4"/>
      <c r="Y390" s="153"/>
      <c r="BI390" s="154"/>
      <c r="BJ390" s="20"/>
    </row>
    <row r="391" spans="1:62" s="19" customFormat="1" ht="20.25" customHeight="1" x14ac:dyDescent="0.2">
      <c r="A391" s="270" t="s">
        <v>245</v>
      </c>
      <c r="B391" s="285" t="s">
        <v>246</v>
      </c>
      <c r="C391" s="298" t="s">
        <v>230</v>
      </c>
      <c r="D391" s="15">
        <f t="shared" si="21"/>
        <v>622.83000000000004</v>
      </c>
      <c r="E391" s="16">
        <f t="shared" si="22"/>
        <v>124.57</v>
      </c>
      <c r="F391" s="164">
        <f t="shared" si="23"/>
        <v>747.4</v>
      </c>
      <c r="G391" s="143"/>
      <c r="H391" s="4"/>
      <c r="I391" s="72"/>
      <c r="J391" s="4"/>
      <c r="K391" s="42"/>
      <c r="L391" s="4"/>
      <c r="M391" s="4"/>
      <c r="N391" s="4"/>
      <c r="O391" s="4"/>
      <c r="Y391" s="153"/>
      <c r="BI391" s="154"/>
      <c r="BJ391" s="20"/>
    </row>
    <row r="392" spans="1:62" s="19" customFormat="1" ht="17.25" customHeight="1" x14ac:dyDescent="0.2">
      <c r="A392" s="270" t="s">
        <v>247</v>
      </c>
      <c r="B392" s="285" t="s">
        <v>248</v>
      </c>
      <c r="C392" s="298" t="s">
        <v>230</v>
      </c>
      <c r="D392" s="15">
        <f t="shared" si="21"/>
        <v>622.83000000000004</v>
      </c>
      <c r="E392" s="16">
        <f t="shared" si="22"/>
        <v>124.57</v>
      </c>
      <c r="F392" s="164">
        <f t="shared" si="23"/>
        <v>747.4</v>
      </c>
      <c r="G392" s="143"/>
      <c r="H392" s="4"/>
      <c r="I392" s="72"/>
      <c r="J392" s="4"/>
      <c r="K392" s="42"/>
      <c r="L392" s="4"/>
      <c r="M392" s="4"/>
      <c r="N392" s="4"/>
      <c r="O392" s="4"/>
      <c r="Y392" s="153"/>
      <c r="BI392" s="154"/>
      <c r="BJ392" s="20"/>
    </row>
    <row r="393" spans="1:62" s="19" customFormat="1" ht="20.25" customHeight="1" x14ac:dyDescent="0.2">
      <c r="A393" s="270" t="s">
        <v>249</v>
      </c>
      <c r="B393" s="285" t="s">
        <v>250</v>
      </c>
      <c r="C393" s="298" t="s">
        <v>230</v>
      </c>
      <c r="D393" s="15">
        <f t="shared" si="21"/>
        <v>622.83000000000004</v>
      </c>
      <c r="E393" s="16">
        <f t="shared" si="22"/>
        <v>124.57</v>
      </c>
      <c r="F393" s="164">
        <f t="shared" si="23"/>
        <v>747.4</v>
      </c>
      <c r="G393" s="143"/>
      <c r="H393" s="4"/>
      <c r="I393" s="72"/>
      <c r="J393" s="4"/>
      <c r="K393" s="42"/>
      <c r="L393" s="4"/>
      <c r="M393" s="4"/>
      <c r="N393" s="4"/>
      <c r="O393" s="4"/>
      <c r="Y393" s="153"/>
      <c r="BI393" s="154"/>
      <c r="BJ393" s="20"/>
    </row>
    <row r="394" spans="1:62" s="19" customFormat="1" ht="19.5" customHeight="1" x14ac:dyDescent="0.2">
      <c r="A394" s="270" t="s">
        <v>251</v>
      </c>
      <c r="B394" s="285" t="s">
        <v>252</v>
      </c>
      <c r="C394" s="298" t="s">
        <v>230</v>
      </c>
      <c r="D394" s="15">
        <f t="shared" si="21"/>
        <v>622.83000000000004</v>
      </c>
      <c r="E394" s="16">
        <f t="shared" si="22"/>
        <v>124.57</v>
      </c>
      <c r="F394" s="164">
        <f t="shared" si="23"/>
        <v>747.4</v>
      </c>
      <c r="G394" s="143"/>
      <c r="H394" s="4"/>
      <c r="I394" s="72"/>
      <c r="J394" s="4"/>
      <c r="K394" s="42"/>
      <c r="L394" s="4"/>
      <c r="M394" s="4"/>
      <c r="N394" s="4"/>
      <c r="O394" s="4"/>
      <c r="Y394" s="153"/>
      <c r="BI394" s="154"/>
      <c r="BJ394" s="20"/>
    </row>
    <row r="395" spans="1:62" s="19" customFormat="1" ht="23.25" customHeight="1" x14ac:dyDescent="0.2">
      <c r="A395" s="270" t="s">
        <v>253</v>
      </c>
      <c r="B395" s="285" t="s">
        <v>254</v>
      </c>
      <c r="C395" s="298" t="s">
        <v>230</v>
      </c>
      <c r="D395" s="15">
        <f t="shared" si="21"/>
        <v>622.83000000000004</v>
      </c>
      <c r="E395" s="16">
        <f t="shared" si="22"/>
        <v>124.57</v>
      </c>
      <c r="F395" s="164">
        <f t="shared" si="23"/>
        <v>747.4</v>
      </c>
      <c r="G395" s="143"/>
      <c r="H395" s="4"/>
      <c r="I395" s="72"/>
      <c r="J395" s="4"/>
      <c r="K395" s="42"/>
      <c r="L395" s="4"/>
      <c r="M395" s="4"/>
      <c r="N395" s="4"/>
      <c r="O395" s="4"/>
      <c r="Y395" s="153"/>
      <c r="BI395" s="154"/>
      <c r="BJ395" s="20"/>
    </row>
    <row r="396" spans="1:62" s="19" customFormat="1" ht="21" customHeight="1" x14ac:dyDescent="0.2">
      <c r="A396" s="270" t="s">
        <v>255</v>
      </c>
      <c r="B396" s="285" t="s">
        <v>256</v>
      </c>
      <c r="C396" s="298" t="s">
        <v>230</v>
      </c>
      <c r="D396" s="15">
        <f t="shared" si="21"/>
        <v>622.83000000000004</v>
      </c>
      <c r="E396" s="16">
        <f t="shared" si="22"/>
        <v>124.57</v>
      </c>
      <c r="F396" s="164">
        <f t="shared" si="23"/>
        <v>747.4</v>
      </c>
      <c r="G396" s="143"/>
      <c r="H396" s="4"/>
      <c r="I396" s="72"/>
      <c r="J396" s="4"/>
      <c r="K396" s="42"/>
      <c r="L396" s="4"/>
      <c r="M396" s="4"/>
      <c r="N396" s="4"/>
      <c r="O396" s="4"/>
      <c r="Y396" s="153"/>
      <c r="BI396" s="154"/>
      <c r="BJ396" s="20"/>
    </row>
    <row r="397" spans="1:62" s="19" customFormat="1" ht="21" customHeight="1" x14ac:dyDescent="0.2">
      <c r="A397" s="270" t="s">
        <v>257</v>
      </c>
      <c r="B397" s="285" t="s">
        <v>258</v>
      </c>
      <c r="C397" s="298" t="s">
        <v>230</v>
      </c>
      <c r="D397" s="15">
        <f t="shared" si="21"/>
        <v>622.83000000000004</v>
      </c>
      <c r="E397" s="16">
        <f>D397*20%</f>
        <v>124.57</v>
      </c>
      <c r="F397" s="164">
        <f>D397+E397</f>
        <v>747.4</v>
      </c>
      <c r="G397" s="143"/>
      <c r="H397" s="4"/>
      <c r="I397" s="72"/>
      <c r="J397" s="4"/>
      <c r="K397" s="42"/>
      <c r="L397" s="4"/>
      <c r="M397" s="4"/>
      <c r="N397" s="4"/>
      <c r="O397" s="4"/>
      <c r="Y397" s="153"/>
      <c r="BI397" s="154"/>
      <c r="BJ397" s="20"/>
    </row>
    <row r="398" spans="1:62" s="19" customFormat="1" ht="30.75" customHeight="1" x14ac:dyDescent="0.2">
      <c r="A398" s="270" t="s">
        <v>198</v>
      </c>
      <c r="B398" s="285" t="s">
        <v>259</v>
      </c>
      <c r="C398" s="298" t="s">
        <v>230</v>
      </c>
      <c r="D398" s="15">
        <f>402.78*1.05</f>
        <v>422.92</v>
      </c>
      <c r="E398" s="16">
        <f t="shared" si="22"/>
        <v>84.58</v>
      </c>
      <c r="F398" s="164">
        <f t="shared" si="23"/>
        <v>507.5</v>
      </c>
      <c r="G398" s="143"/>
      <c r="H398" s="4"/>
      <c r="I398" s="72"/>
      <c r="J398" s="4"/>
      <c r="K398" s="42"/>
      <c r="L398" s="4"/>
      <c r="M398" s="4"/>
      <c r="N398" s="4"/>
      <c r="O398" s="4"/>
      <c r="Y398" s="153"/>
      <c r="BI398" s="154"/>
      <c r="BJ398" s="20"/>
    </row>
    <row r="399" spans="1:62" s="19" customFormat="1" ht="35.25" customHeight="1" x14ac:dyDescent="0.2">
      <c r="A399" s="270" t="s">
        <v>226</v>
      </c>
      <c r="B399" s="285" t="s">
        <v>260</v>
      </c>
      <c r="C399" s="298" t="s">
        <v>230</v>
      </c>
      <c r="D399" s="15">
        <f>301.24*1.05</f>
        <v>316.3</v>
      </c>
      <c r="E399" s="16">
        <f>D399*20%</f>
        <v>63.26</v>
      </c>
      <c r="F399" s="164">
        <f t="shared" si="23"/>
        <v>379.56</v>
      </c>
      <c r="G399" s="143"/>
      <c r="H399" s="4"/>
      <c r="I399" s="72"/>
      <c r="J399" s="4"/>
      <c r="K399" s="42"/>
      <c r="L399" s="4"/>
      <c r="M399" s="4"/>
      <c r="N399" s="4"/>
      <c r="O399" s="4"/>
      <c r="Y399" s="153"/>
      <c r="BI399" s="154"/>
      <c r="BJ399" s="20"/>
    </row>
    <row r="400" spans="1:62" s="19" customFormat="1" ht="29.25" customHeight="1" x14ac:dyDescent="0.2">
      <c r="A400" s="292" t="s">
        <v>261</v>
      </c>
      <c r="B400" s="326" t="s">
        <v>262</v>
      </c>
      <c r="C400" s="326"/>
      <c r="D400" s="326"/>
      <c r="E400" s="326"/>
      <c r="F400" s="326"/>
      <c r="G400" s="143"/>
      <c r="H400" s="4"/>
      <c r="I400" s="72"/>
      <c r="J400" s="4"/>
      <c r="K400" s="42"/>
      <c r="L400" s="4"/>
      <c r="M400" s="4"/>
      <c r="N400" s="4"/>
      <c r="O400" s="4"/>
      <c r="Y400" s="153"/>
      <c r="BI400" s="154"/>
      <c r="BJ400" s="20"/>
    </row>
    <row r="401" spans="1:62" s="19" customFormat="1" ht="25.5" customHeight="1" x14ac:dyDescent="0.2">
      <c r="A401" s="270" t="s">
        <v>263</v>
      </c>
      <c r="B401" s="285" t="s">
        <v>264</v>
      </c>
      <c r="C401" s="298" t="s">
        <v>230</v>
      </c>
      <c r="D401" s="15">
        <f>1146.02*1.05</f>
        <v>1203.32</v>
      </c>
      <c r="E401" s="16">
        <f t="shared" ref="E401:E407" si="24">D401*20%</f>
        <v>240.66</v>
      </c>
      <c r="F401" s="164">
        <f t="shared" ref="F401:F406" si="25">D401+E401</f>
        <v>1443.98</v>
      </c>
      <c r="G401" s="143"/>
      <c r="H401" s="4"/>
      <c r="I401" s="72"/>
      <c r="J401" s="4"/>
      <c r="K401" s="42"/>
      <c r="L401" s="4"/>
      <c r="M401" s="4"/>
      <c r="N401" s="4"/>
      <c r="O401" s="4"/>
      <c r="Y401" s="153"/>
      <c r="BI401" s="154"/>
      <c r="BJ401" s="20"/>
    </row>
    <row r="402" spans="1:62" s="19" customFormat="1" ht="21.75" customHeight="1" x14ac:dyDescent="0.2">
      <c r="A402" s="270" t="s">
        <v>265</v>
      </c>
      <c r="B402" s="285" t="s">
        <v>266</v>
      </c>
      <c r="C402" s="298" t="s">
        <v>230</v>
      </c>
      <c r="D402" s="15">
        <f>1146.02*1.05</f>
        <v>1203.32</v>
      </c>
      <c r="E402" s="16">
        <f t="shared" si="24"/>
        <v>240.66</v>
      </c>
      <c r="F402" s="164">
        <f t="shared" si="25"/>
        <v>1443.98</v>
      </c>
      <c r="G402" s="143"/>
      <c r="H402" s="4"/>
      <c r="I402" s="72"/>
      <c r="J402" s="4"/>
      <c r="K402" s="42"/>
      <c r="L402" s="4"/>
      <c r="M402" s="4"/>
      <c r="N402" s="4"/>
      <c r="O402" s="4"/>
      <c r="Y402" s="153"/>
      <c r="BI402" s="154"/>
      <c r="BJ402" s="20"/>
    </row>
    <row r="403" spans="1:62" s="19" customFormat="1" ht="21.75" customHeight="1" x14ac:dyDescent="0.2">
      <c r="A403" s="270" t="s">
        <v>267</v>
      </c>
      <c r="B403" s="285" t="s">
        <v>268</v>
      </c>
      <c r="C403" s="298" t="s">
        <v>230</v>
      </c>
      <c r="D403" s="15">
        <f>1146.02*1.05</f>
        <v>1203.32</v>
      </c>
      <c r="E403" s="16">
        <f t="shared" si="24"/>
        <v>240.66</v>
      </c>
      <c r="F403" s="164">
        <f t="shared" si="25"/>
        <v>1443.98</v>
      </c>
      <c r="G403" s="143"/>
      <c r="H403" s="4"/>
      <c r="I403" s="72"/>
      <c r="J403" s="4"/>
      <c r="K403" s="42"/>
      <c r="L403" s="4"/>
      <c r="M403" s="4"/>
      <c r="N403" s="4"/>
      <c r="O403" s="4"/>
      <c r="Y403" s="153"/>
      <c r="BI403" s="154"/>
      <c r="BJ403" s="20"/>
    </row>
    <row r="404" spans="1:62" s="19" customFormat="1" ht="18.75" customHeight="1" x14ac:dyDescent="0.2">
      <c r="A404" s="270" t="s">
        <v>269</v>
      </c>
      <c r="B404" s="285" t="s">
        <v>270</v>
      </c>
      <c r="C404" s="298" t="s">
        <v>230</v>
      </c>
      <c r="D404" s="15">
        <f>1251.31*1.05</f>
        <v>1313.88</v>
      </c>
      <c r="E404" s="16">
        <f t="shared" si="24"/>
        <v>262.77999999999997</v>
      </c>
      <c r="F404" s="164">
        <f t="shared" si="25"/>
        <v>1576.66</v>
      </c>
      <c r="G404" s="143"/>
      <c r="H404" s="4"/>
      <c r="I404" s="72"/>
      <c r="J404" s="4"/>
      <c r="K404" s="42"/>
      <c r="L404" s="4"/>
      <c r="M404" s="4"/>
      <c r="N404" s="4"/>
      <c r="O404" s="4"/>
      <c r="Y404" s="153"/>
      <c r="BI404" s="154"/>
      <c r="BJ404" s="20"/>
    </row>
    <row r="405" spans="1:62" s="19" customFormat="1" ht="17.25" customHeight="1" x14ac:dyDescent="0.2">
      <c r="A405" s="270" t="s">
        <v>271</v>
      </c>
      <c r="B405" s="285" t="s">
        <v>272</v>
      </c>
      <c r="C405" s="298" t="s">
        <v>230</v>
      </c>
      <c r="D405" s="15">
        <f>1251.31*1.05</f>
        <v>1313.88</v>
      </c>
      <c r="E405" s="16">
        <f t="shared" si="24"/>
        <v>262.77999999999997</v>
      </c>
      <c r="F405" s="164">
        <f t="shared" si="25"/>
        <v>1576.66</v>
      </c>
      <c r="G405" s="143"/>
      <c r="H405" s="4"/>
      <c r="I405" s="72"/>
      <c r="J405" s="4"/>
      <c r="K405" s="42"/>
      <c r="L405" s="4"/>
      <c r="M405" s="4"/>
      <c r="N405" s="4"/>
      <c r="O405" s="4"/>
      <c r="Y405" s="153"/>
      <c r="BI405" s="154"/>
      <c r="BJ405" s="20"/>
    </row>
    <row r="406" spans="1:62" s="19" customFormat="1" ht="18" customHeight="1" x14ac:dyDescent="0.2">
      <c r="A406" s="270" t="s">
        <v>273</v>
      </c>
      <c r="B406" s="285" t="s">
        <v>274</v>
      </c>
      <c r="C406" s="298" t="s">
        <v>230</v>
      </c>
      <c r="D406" s="15">
        <f>1251.31*1.05</f>
        <v>1313.88</v>
      </c>
      <c r="E406" s="16">
        <f t="shared" si="24"/>
        <v>262.77999999999997</v>
      </c>
      <c r="F406" s="164">
        <f t="shared" si="25"/>
        <v>1576.66</v>
      </c>
      <c r="G406" s="143"/>
      <c r="H406" s="4"/>
      <c r="I406" s="72"/>
      <c r="J406" s="4"/>
      <c r="K406" s="42"/>
      <c r="L406" s="4"/>
      <c r="M406" s="4"/>
      <c r="N406" s="4"/>
      <c r="O406" s="4"/>
      <c r="Y406" s="153"/>
      <c r="BI406" s="154"/>
      <c r="BJ406" s="20"/>
    </row>
    <row r="407" spans="1:62" s="19" customFormat="1" ht="39.75" customHeight="1" x14ac:dyDescent="0.2">
      <c r="A407" s="270" t="s">
        <v>275</v>
      </c>
      <c r="B407" s="285" t="s">
        <v>276</v>
      </c>
      <c r="C407" s="298" t="s">
        <v>230</v>
      </c>
      <c r="D407" s="15">
        <f>1251.31*1.05</f>
        <v>1313.88</v>
      </c>
      <c r="E407" s="16">
        <f t="shared" si="24"/>
        <v>262.77999999999997</v>
      </c>
      <c r="F407" s="164">
        <f>D407+E407</f>
        <v>1576.66</v>
      </c>
      <c r="G407" s="143"/>
      <c r="H407" s="4"/>
      <c r="I407" s="72"/>
      <c r="J407" s="4"/>
      <c r="K407" s="42"/>
      <c r="L407" s="4"/>
      <c r="M407" s="4"/>
      <c r="N407" s="4"/>
      <c r="O407" s="4"/>
      <c r="Y407" s="153"/>
      <c r="BI407" s="154"/>
      <c r="BJ407" s="20"/>
    </row>
    <row r="408" spans="1:62" s="19" customFormat="1" ht="25.5" customHeight="1" x14ac:dyDescent="0.2">
      <c r="A408" s="270" t="s">
        <v>277</v>
      </c>
      <c r="B408" s="326" t="s">
        <v>1835</v>
      </c>
      <c r="C408" s="326"/>
      <c r="D408" s="326"/>
      <c r="E408" s="326"/>
      <c r="F408" s="326"/>
      <c r="G408" s="143"/>
      <c r="H408" s="4"/>
      <c r="I408" s="72"/>
      <c r="J408" s="4"/>
      <c r="K408" s="42"/>
      <c r="L408" s="4"/>
      <c r="M408" s="4"/>
      <c r="N408" s="4"/>
      <c r="O408" s="4"/>
      <c r="Y408" s="153"/>
      <c r="BI408" s="154"/>
      <c r="BJ408" s="20"/>
    </row>
    <row r="409" spans="1:62" s="19" customFormat="1" ht="20.25" customHeight="1" x14ac:dyDescent="0.2">
      <c r="A409" s="270" t="s">
        <v>278</v>
      </c>
      <c r="B409" s="285" t="s">
        <v>279</v>
      </c>
      <c r="C409" s="298" t="s">
        <v>230</v>
      </c>
      <c r="D409" s="15">
        <f>1191.86*1.05</f>
        <v>1251.45</v>
      </c>
      <c r="E409" s="16">
        <f t="shared" ref="E409:E417" si="26">D409*20%</f>
        <v>250.29</v>
      </c>
      <c r="F409" s="164">
        <f t="shared" ref="F409:F415" si="27">D409+E409</f>
        <v>1501.74</v>
      </c>
      <c r="G409" s="143"/>
      <c r="H409" s="4"/>
      <c r="I409" s="72"/>
      <c r="J409" s="4"/>
      <c r="K409" s="42"/>
      <c r="L409" s="4"/>
      <c r="M409" s="4"/>
      <c r="N409" s="4"/>
      <c r="O409" s="4"/>
      <c r="Y409" s="153"/>
      <c r="BI409" s="154"/>
      <c r="BJ409" s="20"/>
    </row>
    <row r="410" spans="1:62" s="19" customFormat="1" ht="23.25" customHeight="1" x14ac:dyDescent="0.2">
      <c r="A410" s="270" t="s">
        <v>280</v>
      </c>
      <c r="B410" s="285" t="s">
        <v>281</v>
      </c>
      <c r="C410" s="298" t="s">
        <v>230</v>
      </c>
      <c r="D410" s="15">
        <f>1191.86*1.05</f>
        <v>1251.45</v>
      </c>
      <c r="E410" s="16">
        <f t="shared" si="26"/>
        <v>250.29</v>
      </c>
      <c r="F410" s="164">
        <f t="shared" si="27"/>
        <v>1501.74</v>
      </c>
      <c r="G410" s="143"/>
      <c r="H410" s="4"/>
      <c r="I410" s="72"/>
      <c r="J410" s="4"/>
      <c r="K410" s="42"/>
      <c r="L410" s="4"/>
      <c r="M410" s="4"/>
      <c r="N410" s="4"/>
      <c r="O410" s="4"/>
      <c r="Y410" s="153"/>
      <c r="BI410" s="154"/>
      <c r="BJ410" s="20"/>
    </row>
    <row r="411" spans="1:62" s="19" customFormat="1" ht="22.5" customHeight="1" x14ac:dyDescent="0.2">
      <c r="A411" s="270" t="s">
        <v>282</v>
      </c>
      <c r="B411" s="285" t="s">
        <v>283</v>
      </c>
      <c r="C411" s="298" t="s">
        <v>230</v>
      </c>
      <c r="D411" s="15">
        <f>1301.36*1.05</f>
        <v>1366.43</v>
      </c>
      <c r="E411" s="16">
        <f t="shared" si="26"/>
        <v>273.29000000000002</v>
      </c>
      <c r="F411" s="164">
        <f t="shared" si="27"/>
        <v>1639.72</v>
      </c>
      <c r="G411" s="143"/>
      <c r="H411" s="4"/>
      <c r="I411" s="72"/>
      <c r="J411" s="4"/>
      <c r="K411" s="42"/>
      <c r="L411" s="4"/>
      <c r="M411" s="4"/>
      <c r="N411" s="4"/>
      <c r="O411" s="4"/>
      <c r="Y411" s="153"/>
      <c r="BI411" s="154"/>
      <c r="BJ411" s="20"/>
    </row>
    <row r="412" spans="1:62" s="19" customFormat="1" ht="24" customHeight="1" x14ac:dyDescent="0.2">
      <c r="A412" s="270" t="s">
        <v>284</v>
      </c>
      <c r="B412" s="285" t="s">
        <v>285</v>
      </c>
      <c r="C412" s="298" t="s">
        <v>230</v>
      </c>
      <c r="D412" s="15">
        <f>1301.36*1.05</f>
        <v>1366.43</v>
      </c>
      <c r="E412" s="16">
        <f t="shared" si="26"/>
        <v>273.29000000000002</v>
      </c>
      <c r="F412" s="164">
        <f t="shared" si="27"/>
        <v>1639.72</v>
      </c>
      <c r="G412" s="143"/>
      <c r="H412" s="4"/>
      <c r="I412" s="72"/>
      <c r="J412" s="4"/>
      <c r="K412" s="42"/>
      <c r="L412" s="4"/>
      <c r="M412" s="4"/>
      <c r="N412" s="4"/>
      <c r="O412" s="4"/>
      <c r="Y412" s="153"/>
      <c r="BI412" s="154"/>
      <c r="BJ412" s="20"/>
    </row>
    <row r="413" spans="1:62" s="19" customFormat="1" ht="19.5" customHeight="1" x14ac:dyDescent="0.2">
      <c r="A413" s="270" t="s">
        <v>286</v>
      </c>
      <c r="B413" s="285" t="s">
        <v>287</v>
      </c>
      <c r="C413" s="298" t="s">
        <v>230</v>
      </c>
      <c r="D413" s="15">
        <f>1301.36*1.05</f>
        <v>1366.43</v>
      </c>
      <c r="E413" s="16">
        <f t="shared" si="26"/>
        <v>273.29000000000002</v>
      </c>
      <c r="F413" s="164">
        <f t="shared" si="27"/>
        <v>1639.72</v>
      </c>
      <c r="G413" s="143"/>
      <c r="H413" s="4"/>
      <c r="I413" s="72"/>
      <c r="J413" s="4"/>
      <c r="K413" s="42"/>
      <c r="L413" s="4"/>
      <c r="M413" s="4"/>
      <c r="N413" s="4"/>
      <c r="O413" s="4"/>
      <c r="Y413" s="153"/>
      <c r="BI413" s="154"/>
      <c r="BJ413" s="20"/>
    </row>
    <row r="414" spans="1:62" s="19" customFormat="1" ht="20.25" customHeight="1" x14ac:dyDescent="0.2">
      <c r="A414" s="270" t="s">
        <v>288</v>
      </c>
      <c r="B414" s="285" t="s">
        <v>289</v>
      </c>
      <c r="C414" s="298" t="s">
        <v>230</v>
      </c>
      <c r="D414" s="15">
        <f>1191.86*1.05</f>
        <v>1251.45</v>
      </c>
      <c r="E414" s="16">
        <f t="shared" si="26"/>
        <v>250.29</v>
      </c>
      <c r="F414" s="164">
        <f t="shared" si="27"/>
        <v>1501.74</v>
      </c>
      <c r="G414" s="143"/>
      <c r="H414" s="4"/>
      <c r="I414" s="72"/>
      <c r="J414" s="4"/>
      <c r="K414" s="42"/>
      <c r="L414" s="4"/>
      <c r="M414" s="4"/>
      <c r="N414" s="4"/>
      <c r="O414" s="4"/>
      <c r="Y414" s="153"/>
      <c r="BI414" s="154"/>
      <c r="BJ414" s="20"/>
    </row>
    <row r="415" spans="1:62" s="19" customFormat="1" ht="21" customHeight="1" x14ac:dyDescent="0.2">
      <c r="A415" s="270" t="s">
        <v>290</v>
      </c>
      <c r="B415" s="285" t="s">
        <v>291</v>
      </c>
      <c r="C415" s="298" t="s">
        <v>230</v>
      </c>
      <c r="D415" s="15">
        <f>1120.25*1.05</f>
        <v>1176.26</v>
      </c>
      <c r="E415" s="16">
        <f t="shared" si="26"/>
        <v>235.25</v>
      </c>
      <c r="F415" s="164">
        <f t="shared" si="27"/>
        <v>1411.51</v>
      </c>
      <c r="G415" s="143"/>
      <c r="H415" s="4"/>
      <c r="I415" s="72"/>
      <c r="J415" s="4"/>
      <c r="K415" s="42"/>
      <c r="L415" s="4"/>
      <c r="M415" s="4"/>
      <c r="N415" s="4"/>
      <c r="O415" s="4"/>
      <c r="Y415" s="153"/>
      <c r="BI415" s="154"/>
      <c r="BJ415" s="20"/>
    </row>
    <row r="416" spans="1:62" s="19" customFormat="1" ht="39" customHeight="1" x14ac:dyDescent="0.2">
      <c r="A416" s="270" t="s">
        <v>1837</v>
      </c>
      <c r="B416" s="285" t="s">
        <v>1836</v>
      </c>
      <c r="C416" s="197" t="s">
        <v>1683</v>
      </c>
      <c r="D416" s="15">
        <f>5688.4*1.05</f>
        <v>5972.82</v>
      </c>
      <c r="E416" s="16">
        <f t="shared" ref="E416" si="28">D416*20%</f>
        <v>1194.56</v>
      </c>
      <c r="F416" s="164">
        <f t="shared" ref="F416" si="29">D416+E416</f>
        <v>7167.38</v>
      </c>
      <c r="G416" s="143"/>
      <c r="H416" s="4"/>
      <c r="I416" s="72"/>
      <c r="J416" s="4"/>
      <c r="K416" s="42"/>
      <c r="L416" s="4"/>
      <c r="M416" s="4"/>
      <c r="N416" s="4"/>
      <c r="O416" s="4"/>
      <c r="Y416" s="153"/>
      <c r="BI416" s="154"/>
      <c r="BJ416" s="20"/>
    </row>
    <row r="417" spans="1:62" s="19" customFormat="1" ht="30.75" customHeight="1" x14ac:dyDescent="0.2">
      <c r="A417" s="270" t="s">
        <v>292</v>
      </c>
      <c r="B417" s="285" t="s">
        <v>293</v>
      </c>
      <c r="C417" s="298" t="s">
        <v>230</v>
      </c>
      <c r="D417" s="15">
        <f>449.49*1.05</f>
        <v>471.96</v>
      </c>
      <c r="E417" s="16">
        <f t="shared" si="26"/>
        <v>94.39</v>
      </c>
      <c r="F417" s="164">
        <f>D417+E417</f>
        <v>566.35</v>
      </c>
      <c r="G417" s="143"/>
      <c r="H417" s="4"/>
      <c r="I417" s="72"/>
      <c r="J417" s="4"/>
      <c r="K417" s="42"/>
      <c r="L417" s="4"/>
      <c r="M417" s="4"/>
      <c r="N417" s="4"/>
      <c r="O417" s="4"/>
      <c r="Y417" s="153"/>
      <c r="BI417" s="154"/>
      <c r="BJ417" s="20"/>
    </row>
    <row r="418" spans="1:62" s="19" customFormat="1" ht="26.25" customHeight="1" x14ac:dyDescent="0.2">
      <c r="A418" s="270" t="s">
        <v>294</v>
      </c>
      <c r="B418" s="326" t="s">
        <v>295</v>
      </c>
      <c r="C418" s="326"/>
      <c r="D418" s="326"/>
      <c r="E418" s="326"/>
      <c r="F418" s="326"/>
      <c r="G418" s="143"/>
      <c r="H418" s="4"/>
      <c r="I418" s="72"/>
      <c r="J418" s="4"/>
      <c r="K418" s="42"/>
      <c r="L418" s="4"/>
      <c r="M418" s="4"/>
      <c r="N418" s="4"/>
      <c r="O418" s="4"/>
      <c r="Y418" s="153"/>
      <c r="BI418" s="154"/>
      <c r="BJ418" s="20"/>
    </row>
    <row r="419" spans="1:62" s="19" customFormat="1" ht="37.5" customHeight="1" x14ac:dyDescent="0.2">
      <c r="A419" s="270" t="s">
        <v>296</v>
      </c>
      <c r="B419" s="285" t="s">
        <v>297</v>
      </c>
      <c r="C419" s="298" t="s">
        <v>230</v>
      </c>
      <c r="D419" s="15">
        <f>1639.25*1.05</f>
        <v>1721.21</v>
      </c>
      <c r="E419" s="16">
        <f t="shared" ref="E419:E428" si="30">D419*20%</f>
        <v>344.24</v>
      </c>
      <c r="F419" s="164">
        <f t="shared" ref="F419:F428" si="31">D419+E419</f>
        <v>2065.4499999999998</v>
      </c>
      <c r="G419" s="143"/>
      <c r="H419" s="4"/>
      <c r="I419" s="72"/>
      <c r="J419" s="4"/>
      <c r="K419" s="42"/>
      <c r="L419" s="4"/>
      <c r="M419" s="4"/>
      <c r="N419" s="4"/>
      <c r="O419" s="4"/>
      <c r="Y419" s="153"/>
      <c r="BI419" s="154"/>
      <c r="BJ419" s="20"/>
    </row>
    <row r="420" spans="1:62" s="19" customFormat="1" ht="46.5" customHeight="1" x14ac:dyDescent="0.2">
      <c r="A420" s="270" t="s">
        <v>298</v>
      </c>
      <c r="B420" s="285" t="s">
        <v>299</v>
      </c>
      <c r="C420" s="298" t="s">
        <v>230</v>
      </c>
      <c r="D420" s="15">
        <f>1639.25*1.05</f>
        <v>1721.21</v>
      </c>
      <c r="E420" s="16">
        <f t="shared" si="30"/>
        <v>344.24</v>
      </c>
      <c r="F420" s="164">
        <f t="shared" si="31"/>
        <v>2065.4499999999998</v>
      </c>
      <c r="G420" s="143"/>
      <c r="H420" s="4"/>
      <c r="I420" s="72"/>
      <c r="J420" s="4"/>
      <c r="K420" s="42"/>
      <c r="L420" s="4"/>
      <c r="M420" s="4"/>
      <c r="N420" s="4"/>
      <c r="O420" s="4"/>
      <c r="Y420" s="153"/>
      <c r="BI420" s="154"/>
      <c r="BJ420" s="20"/>
    </row>
    <row r="421" spans="1:62" s="19" customFormat="1" ht="46.5" customHeight="1" x14ac:dyDescent="0.2">
      <c r="A421" s="270" t="s">
        <v>300</v>
      </c>
      <c r="B421" s="285" t="s">
        <v>301</v>
      </c>
      <c r="C421" s="298" t="s">
        <v>230</v>
      </c>
      <c r="D421" s="15">
        <f>1639.25*1.05</f>
        <v>1721.21</v>
      </c>
      <c r="E421" s="16">
        <f t="shared" si="30"/>
        <v>344.24</v>
      </c>
      <c r="F421" s="164">
        <f t="shared" si="31"/>
        <v>2065.4499999999998</v>
      </c>
      <c r="G421" s="143"/>
      <c r="H421" s="4"/>
      <c r="I421" s="72"/>
      <c r="J421" s="4"/>
      <c r="K421" s="42"/>
      <c r="L421" s="4"/>
      <c r="M421" s="4"/>
      <c r="N421" s="4"/>
      <c r="O421" s="4"/>
      <c r="Y421" s="153"/>
      <c r="BI421" s="154"/>
      <c r="BJ421" s="20"/>
    </row>
    <row r="422" spans="1:62" s="19" customFormat="1" ht="21.75" customHeight="1" x14ac:dyDescent="0.2">
      <c r="A422" s="270" t="s">
        <v>302</v>
      </c>
      <c r="B422" s="285" t="s">
        <v>303</v>
      </c>
      <c r="C422" s="298" t="s">
        <v>230</v>
      </c>
      <c r="D422" s="15">
        <f>1639.25*1.05</f>
        <v>1721.21</v>
      </c>
      <c r="E422" s="16">
        <f t="shared" si="30"/>
        <v>344.24</v>
      </c>
      <c r="F422" s="164">
        <f t="shared" si="31"/>
        <v>2065.4499999999998</v>
      </c>
      <c r="G422" s="143"/>
      <c r="H422" s="4"/>
      <c r="I422" s="72"/>
      <c r="J422" s="4"/>
      <c r="K422" s="42"/>
      <c r="L422" s="4"/>
      <c r="M422" s="4"/>
      <c r="N422" s="4"/>
      <c r="O422" s="4"/>
      <c r="Y422" s="153"/>
      <c r="BI422" s="154"/>
      <c r="BJ422" s="20"/>
    </row>
    <row r="423" spans="1:62" s="19" customFormat="1" ht="32.25" customHeight="1" x14ac:dyDescent="0.2">
      <c r="A423" s="270" t="s">
        <v>304</v>
      </c>
      <c r="B423" s="165" t="s">
        <v>305</v>
      </c>
      <c r="C423" s="298" t="s">
        <v>230</v>
      </c>
      <c r="D423" s="15">
        <f>980.32*1.05</f>
        <v>1029.3399999999999</v>
      </c>
      <c r="E423" s="16">
        <f t="shared" si="30"/>
        <v>205.87</v>
      </c>
      <c r="F423" s="164">
        <f t="shared" si="31"/>
        <v>1235.21</v>
      </c>
      <c r="G423" s="143"/>
      <c r="H423" s="4"/>
      <c r="I423" s="72"/>
      <c r="J423" s="4"/>
      <c r="K423" s="42"/>
      <c r="L423" s="4"/>
      <c r="M423" s="4"/>
      <c r="N423" s="4"/>
      <c r="O423" s="4"/>
      <c r="Y423" s="153"/>
      <c r="BI423" s="154"/>
      <c r="BJ423" s="20"/>
    </row>
    <row r="424" spans="1:62" s="19" customFormat="1" ht="29.25" customHeight="1" x14ac:dyDescent="0.2">
      <c r="A424" s="270" t="s">
        <v>306</v>
      </c>
      <c r="B424" s="285" t="s">
        <v>307</v>
      </c>
      <c r="C424" s="298" t="s">
        <v>230</v>
      </c>
      <c r="D424" s="15">
        <f>851.95*1.05</f>
        <v>894.55</v>
      </c>
      <c r="E424" s="16">
        <f t="shared" si="30"/>
        <v>178.91</v>
      </c>
      <c r="F424" s="164">
        <f t="shared" si="31"/>
        <v>1073.46</v>
      </c>
      <c r="G424" s="143"/>
      <c r="H424" s="4"/>
      <c r="I424" s="72"/>
      <c r="J424" s="4"/>
      <c r="K424" s="42"/>
      <c r="L424" s="4"/>
      <c r="M424" s="4"/>
      <c r="N424" s="4"/>
      <c r="O424" s="4"/>
      <c r="Y424" s="153"/>
      <c r="BI424" s="154"/>
      <c r="BJ424" s="20"/>
    </row>
    <row r="425" spans="1:62" s="19" customFormat="1" ht="36.75" customHeight="1" x14ac:dyDescent="0.2">
      <c r="A425" s="270" t="s">
        <v>308</v>
      </c>
      <c r="B425" s="285" t="s">
        <v>309</v>
      </c>
      <c r="C425" s="298" t="s">
        <v>230</v>
      </c>
      <c r="D425" s="15">
        <f>407.77*1.05</f>
        <v>428.16</v>
      </c>
      <c r="E425" s="16">
        <f t="shared" si="30"/>
        <v>85.63</v>
      </c>
      <c r="F425" s="164">
        <f t="shared" si="31"/>
        <v>513.79</v>
      </c>
      <c r="G425" s="143"/>
      <c r="H425" s="4"/>
      <c r="I425" s="72"/>
      <c r="J425" s="4"/>
      <c r="K425" s="42"/>
      <c r="L425" s="4"/>
      <c r="M425" s="4"/>
      <c r="N425" s="4"/>
      <c r="O425" s="4"/>
      <c r="Y425" s="153"/>
      <c r="BI425" s="154"/>
      <c r="BJ425" s="20"/>
    </row>
    <row r="426" spans="1:62" s="19" customFormat="1" ht="36" customHeight="1" x14ac:dyDescent="0.2">
      <c r="A426" s="270" t="s">
        <v>310</v>
      </c>
      <c r="B426" s="285" t="s">
        <v>311</v>
      </c>
      <c r="C426" s="298" t="s">
        <v>230</v>
      </c>
      <c r="D426" s="15">
        <f>884.44*1.05</f>
        <v>928.66</v>
      </c>
      <c r="E426" s="16">
        <f t="shared" si="30"/>
        <v>185.73</v>
      </c>
      <c r="F426" s="164">
        <f t="shared" si="31"/>
        <v>1114.3900000000001</v>
      </c>
      <c r="G426" s="143"/>
      <c r="H426" s="4"/>
      <c r="I426" s="72"/>
      <c r="J426" s="4"/>
      <c r="K426" s="42"/>
      <c r="L426" s="4"/>
      <c r="M426" s="4"/>
      <c r="N426" s="4"/>
      <c r="O426" s="4"/>
      <c r="Y426" s="153"/>
      <c r="BI426" s="154"/>
      <c r="BJ426" s="20"/>
    </row>
    <row r="427" spans="1:62" s="19" customFormat="1" ht="35.25" customHeight="1" x14ac:dyDescent="0.2">
      <c r="A427" s="270" t="s">
        <v>312</v>
      </c>
      <c r="B427" s="285" t="s">
        <v>313</v>
      </c>
      <c r="C427" s="298" t="s">
        <v>230</v>
      </c>
      <c r="D427" s="15">
        <f>452.11*1.05</f>
        <v>474.72</v>
      </c>
      <c r="E427" s="16">
        <f t="shared" si="30"/>
        <v>94.94</v>
      </c>
      <c r="F427" s="164">
        <f t="shared" si="31"/>
        <v>569.66</v>
      </c>
      <c r="G427" s="143"/>
      <c r="H427" s="4"/>
      <c r="I427" s="72"/>
      <c r="J427" s="4"/>
      <c r="K427" s="42"/>
      <c r="L427" s="4"/>
      <c r="M427" s="4"/>
      <c r="N427" s="4"/>
      <c r="O427" s="4"/>
      <c r="Y427" s="153"/>
      <c r="BI427" s="154"/>
      <c r="BJ427" s="20"/>
    </row>
    <row r="428" spans="1:62" s="19" customFormat="1" ht="19.5" customHeight="1" x14ac:dyDescent="0.2">
      <c r="A428" s="270" t="s">
        <v>314</v>
      </c>
      <c r="B428" s="285" t="s">
        <v>1875</v>
      </c>
      <c r="C428" s="298" t="s">
        <v>230</v>
      </c>
      <c r="D428" s="15">
        <f>487.53*1.05</f>
        <v>511.91</v>
      </c>
      <c r="E428" s="16">
        <f t="shared" si="30"/>
        <v>102.38</v>
      </c>
      <c r="F428" s="164">
        <f t="shared" si="31"/>
        <v>614.29</v>
      </c>
      <c r="G428" s="143"/>
      <c r="H428" s="4"/>
      <c r="I428" s="72"/>
      <c r="J428" s="4"/>
      <c r="K428" s="42"/>
      <c r="L428" s="4"/>
      <c r="M428" s="4"/>
      <c r="N428" s="4"/>
      <c r="O428" s="4"/>
      <c r="Y428" s="153"/>
      <c r="BI428" s="154"/>
      <c r="BJ428" s="20"/>
    </row>
    <row r="429" spans="1:62" s="19" customFormat="1" ht="24.75" customHeight="1" x14ac:dyDescent="0.2">
      <c r="A429" s="270" t="s">
        <v>315</v>
      </c>
      <c r="B429" s="326" t="s">
        <v>316</v>
      </c>
      <c r="C429" s="326"/>
      <c r="D429" s="326"/>
      <c r="E429" s="326"/>
      <c r="F429" s="326"/>
      <c r="G429" s="143"/>
      <c r="H429" s="4"/>
      <c r="I429" s="72"/>
      <c r="J429" s="4"/>
      <c r="K429" s="42"/>
      <c r="L429" s="4"/>
      <c r="M429" s="4"/>
      <c r="N429" s="4"/>
      <c r="O429" s="4"/>
      <c r="Y429" s="153"/>
      <c r="BI429" s="154"/>
      <c r="BJ429" s="20"/>
    </row>
    <row r="430" spans="1:62" s="19" customFormat="1" ht="32.25" customHeight="1" x14ac:dyDescent="0.2">
      <c r="A430" s="270" t="s">
        <v>317</v>
      </c>
      <c r="B430" s="166" t="s">
        <v>318</v>
      </c>
      <c r="C430" s="298" t="s">
        <v>230</v>
      </c>
      <c r="D430" s="15">
        <f>520.44*1.05</f>
        <v>546.46</v>
      </c>
      <c r="E430" s="16">
        <f>D430*20%</f>
        <v>109.29</v>
      </c>
      <c r="F430" s="164">
        <f>D430+E430</f>
        <v>655.75</v>
      </c>
      <c r="G430" s="143"/>
      <c r="H430" s="4"/>
      <c r="I430" s="72"/>
      <c r="J430" s="4"/>
      <c r="K430" s="42"/>
      <c r="L430" s="4"/>
      <c r="M430" s="4"/>
      <c r="N430" s="4"/>
      <c r="O430" s="4"/>
      <c r="Y430" s="153"/>
      <c r="BI430" s="154"/>
      <c r="BJ430" s="20"/>
    </row>
    <row r="431" spans="1:62" s="19" customFormat="1" ht="24" customHeight="1" x14ac:dyDescent="0.2">
      <c r="A431" s="270" t="s">
        <v>319</v>
      </c>
      <c r="B431" s="167" t="s">
        <v>320</v>
      </c>
      <c r="C431" s="298" t="s">
        <v>230</v>
      </c>
      <c r="D431" s="15">
        <f>520.44*1.05</f>
        <v>546.46</v>
      </c>
      <c r="E431" s="16">
        <f>D431*20%</f>
        <v>109.29</v>
      </c>
      <c r="F431" s="164">
        <f>D431+E431</f>
        <v>655.75</v>
      </c>
      <c r="G431" s="143"/>
      <c r="H431" s="4"/>
      <c r="I431" s="72"/>
      <c r="J431" s="4"/>
      <c r="K431" s="42"/>
      <c r="L431" s="4"/>
      <c r="M431" s="4"/>
      <c r="N431" s="4"/>
      <c r="O431" s="4"/>
      <c r="Y431" s="153"/>
      <c r="BI431" s="154"/>
      <c r="BJ431" s="20"/>
    </row>
    <row r="432" spans="1:62" s="19" customFormat="1" ht="26.25" customHeight="1" x14ac:dyDescent="0.2">
      <c r="A432" s="270" t="s">
        <v>321</v>
      </c>
      <c r="B432" s="347" t="s">
        <v>322</v>
      </c>
      <c r="C432" s="347"/>
      <c r="D432" s="347"/>
      <c r="E432" s="347"/>
      <c r="F432" s="347"/>
      <c r="G432" s="143"/>
      <c r="H432" s="4"/>
      <c r="I432" s="72"/>
      <c r="J432" s="4"/>
      <c r="K432" s="42"/>
      <c r="L432" s="4"/>
      <c r="M432" s="4"/>
      <c r="N432" s="4"/>
      <c r="O432" s="4"/>
      <c r="Y432" s="153"/>
      <c r="BI432" s="154"/>
      <c r="BJ432" s="20"/>
    </row>
    <row r="433" spans="1:62" s="19" customFormat="1" ht="26.25" customHeight="1" x14ac:dyDescent="0.2">
      <c r="A433" s="270" t="s">
        <v>323</v>
      </c>
      <c r="B433" s="165" t="s">
        <v>324</v>
      </c>
      <c r="C433" s="298" t="s">
        <v>230</v>
      </c>
      <c r="D433" s="15">
        <f>2027.38*1.05</f>
        <v>2128.75</v>
      </c>
      <c r="E433" s="16">
        <f t="shared" ref="E433:E446" si="32">D433*20%</f>
        <v>425.75</v>
      </c>
      <c r="F433" s="164">
        <f t="shared" ref="F433:F443" si="33">D433+E433</f>
        <v>2554.5</v>
      </c>
      <c r="G433" s="143"/>
      <c r="H433" s="4"/>
      <c r="I433" s="72"/>
      <c r="J433" s="4"/>
      <c r="K433" s="42"/>
      <c r="L433" s="4"/>
      <c r="M433" s="4"/>
      <c r="N433" s="4"/>
      <c r="O433" s="4"/>
      <c r="Y433" s="153"/>
      <c r="BI433" s="154"/>
      <c r="BJ433" s="20"/>
    </row>
    <row r="434" spans="1:62" s="19" customFormat="1" ht="22.5" customHeight="1" x14ac:dyDescent="0.2">
      <c r="A434" s="270" t="s">
        <v>325</v>
      </c>
      <c r="B434" s="165" t="s">
        <v>326</v>
      </c>
      <c r="C434" s="298" t="s">
        <v>230</v>
      </c>
      <c r="D434" s="15">
        <f>1921.84*1.05</f>
        <v>2017.93</v>
      </c>
      <c r="E434" s="16">
        <f t="shared" si="32"/>
        <v>403.59</v>
      </c>
      <c r="F434" s="164">
        <f t="shared" si="33"/>
        <v>2421.52</v>
      </c>
      <c r="G434" s="143"/>
      <c r="H434" s="4"/>
      <c r="I434" s="72"/>
      <c r="J434" s="4"/>
      <c r="K434" s="42"/>
      <c r="L434" s="4"/>
      <c r="M434" s="4"/>
      <c r="N434" s="4"/>
      <c r="O434" s="4"/>
      <c r="Y434" s="153"/>
      <c r="BI434" s="154"/>
      <c r="BJ434" s="20"/>
    </row>
    <row r="435" spans="1:62" s="19" customFormat="1" ht="22.5" customHeight="1" x14ac:dyDescent="0.2">
      <c r="A435" s="270" t="s">
        <v>327</v>
      </c>
      <c r="B435" s="165" t="s">
        <v>328</v>
      </c>
      <c r="C435" s="298" t="s">
        <v>230</v>
      </c>
      <c r="D435" s="15">
        <f>1253.88*1.05</f>
        <v>1316.57</v>
      </c>
      <c r="E435" s="16">
        <f t="shared" si="32"/>
        <v>263.31</v>
      </c>
      <c r="F435" s="164">
        <f t="shared" si="33"/>
        <v>1579.88</v>
      </c>
      <c r="G435" s="143"/>
      <c r="H435" s="4"/>
      <c r="I435" s="72"/>
      <c r="J435" s="4"/>
      <c r="K435" s="42"/>
      <c r="L435" s="4"/>
      <c r="M435" s="4"/>
      <c r="N435" s="4"/>
      <c r="O435" s="4"/>
      <c r="Y435" s="153"/>
      <c r="BI435" s="154"/>
      <c r="BJ435" s="20"/>
    </row>
    <row r="436" spans="1:62" s="19" customFormat="1" ht="20.25" customHeight="1" x14ac:dyDescent="0.2">
      <c r="A436" s="270" t="s">
        <v>329</v>
      </c>
      <c r="B436" s="165" t="s">
        <v>330</v>
      </c>
      <c r="C436" s="298" t="s">
        <v>230</v>
      </c>
      <c r="D436" s="15">
        <f>1993.77*1.05</f>
        <v>2093.46</v>
      </c>
      <c r="E436" s="16">
        <f t="shared" si="32"/>
        <v>418.69</v>
      </c>
      <c r="F436" s="164">
        <f t="shared" si="33"/>
        <v>2512.15</v>
      </c>
      <c r="G436" s="143"/>
      <c r="H436" s="4"/>
      <c r="I436" s="72"/>
      <c r="J436" s="4"/>
      <c r="K436" s="42"/>
      <c r="L436" s="4"/>
      <c r="M436" s="4"/>
      <c r="N436" s="4"/>
      <c r="O436" s="4"/>
      <c r="Y436" s="153"/>
      <c r="BI436" s="154"/>
      <c r="BJ436" s="20"/>
    </row>
    <row r="437" spans="1:62" s="19" customFormat="1" ht="21.75" customHeight="1" x14ac:dyDescent="0.2">
      <c r="A437" s="270" t="s">
        <v>331</v>
      </c>
      <c r="B437" s="165" t="s">
        <v>332</v>
      </c>
      <c r="C437" s="298" t="s">
        <v>230</v>
      </c>
      <c r="D437" s="15">
        <f>1978.84*1.05</f>
        <v>2077.7800000000002</v>
      </c>
      <c r="E437" s="16">
        <f t="shared" si="32"/>
        <v>415.56</v>
      </c>
      <c r="F437" s="164">
        <f t="shared" si="33"/>
        <v>2493.34</v>
      </c>
      <c r="G437" s="143"/>
      <c r="H437" s="4"/>
      <c r="I437" s="72"/>
      <c r="J437" s="4"/>
      <c r="K437" s="42"/>
      <c r="L437" s="4"/>
      <c r="M437" s="4"/>
      <c r="N437" s="4"/>
      <c r="O437" s="4"/>
      <c r="Y437" s="153"/>
      <c r="BI437" s="154"/>
      <c r="BJ437" s="20"/>
    </row>
    <row r="438" spans="1:62" s="19" customFormat="1" ht="18.75" customHeight="1" x14ac:dyDescent="0.2">
      <c r="A438" s="270" t="s">
        <v>333</v>
      </c>
      <c r="B438" s="165" t="s">
        <v>1758</v>
      </c>
      <c r="C438" s="298" t="s">
        <v>230</v>
      </c>
      <c r="D438" s="15">
        <f>1990.38*1.05</f>
        <v>2089.9</v>
      </c>
      <c r="E438" s="16">
        <f t="shared" si="32"/>
        <v>417.98</v>
      </c>
      <c r="F438" s="164">
        <f>D438+E438</f>
        <v>2507.88</v>
      </c>
      <c r="G438" s="143"/>
      <c r="H438" s="4"/>
      <c r="I438" s="72"/>
      <c r="J438" s="4"/>
      <c r="K438" s="42"/>
      <c r="L438" s="4"/>
      <c r="M438" s="4"/>
      <c r="N438" s="4"/>
      <c r="O438" s="4"/>
      <c r="Y438" s="153"/>
      <c r="BI438" s="154"/>
      <c r="BJ438" s="20"/>
    </row>
    <row r="439" spans="1:62" s="19" customFormat="1" ht="18.75" customHeight="1" x14ac:dyDescent="0.2">
      <c r="A439" s="270" t="s">
        <v>334</v>
      </c>
      <c r="B439" s="165" t="s">
        <v>335</v>
      </c>
      <c r="C439" s="298" t="s">
        <v>230</v>
      </c>
      <c r="D439" s="15">
        <f>2040.74*1.05</f>
        <v>2142.7800000000002</v>
      </c>
      <c r="E439" s="16">
        <f t="shared" si="32"/>
        <v>428.56</v>
      </c>
      <c r="F439" s="164">
        <f t="shared" si="33"/>
        <v>2571.34</v>
      </c>
      <c r="G439" s="143"/>
      <c r="H439" s="4"/>
      <c r="I439" s="72"/>
      <c r="J439" s="4"/>
      <c r="K439" s="42"/>
      <c r="L439" s="4"/>
      <c r="M439" s="4"/>
      <c r="N439" s="4"/>
      <c r="O439" s="4"/>
      <c r="Y439" s="153"/>
      <c r="BI439" s="154"/>
      <c r="BJ439" s="20"/>
    </row>
    <row r="440" spans="1:62" s="19" customFormat="1" ht="18.75" customHeight="1" x14ac:dyDescent="0.2">
      <c r="A440" s="270" t="s">
        <v>336</v>
      </c>
      <c r="B440" s="165" t="s">
        <v>337</v>
      </c>
      <c r="C440" s="298" t="s">
        <v>230</v>
      </c>
      <c r="D440" s="15">
        <f>1696.36*1.05</f>
        <v>1781.18</v>
      </c>
      <c r="E440" s="16">
        <f t="shared" si="32"/>
        <v>356.24</v>
      </c>
      <c r="F440" s="164">
        <f t="shared" si="33"/>
        <v>2137.42</v>
      </c>
      <c r="G440" s="143"/>
      <c r="H440" s="4"/>
      <c r="I440" s="72"/>
      <c r="J440" s="4"/>
      <c r="K440" s="42"/>
      <c r="L440" s="4"/>
      <c r="M440" s="4"/>
      <c r="N440" s="4"/>
      <c r="O440" s="4"/>
      <c r="Y440" s="153"/>
      <c r="AK440" s="40" t="s">
        <v>338</v>
      </c>
      <c r="BI440" s="154"/>
      <c r="BJ440" s="20"/>
    </row>
    <row r="441" spans="1:62" s="19" customFormat="1" ht="18.75" customHeight="1" x14ac:dyDescent="0.2">
      <c r="A441" s="270" t="s">
        <v>339</v>
      </c>
      <c r="B441" s="165" t="s">
        <v>340</v>
      </c>
      <c r="C441" s="298" t="s">
        <v>230</v>
      </c>
      <c r="D441" s="15">
        <f>1805.15*1.05</f>
        <v>1895.41</v>
      </c>
      <c r="E441" s="16">
        <f t="shared" si="32"/>
        <v>379.08</v>
      </c>
      <c r="F441" s="164">
        <f t="shared" si="33"/>
        <v>2274.4899999999998</v>
      </c>
      <c r="G441" s="143"/>
      <c r="H441" s="4"/>
      <c r="I441" s="72"/>
      <c r="J441" s="4"/>
      <c r="K441" s="42"/>
      <c r="L441" s="4"/>
      <c r="M441" s="4"/>
      <c r="N441" s="4"/>
      <c r="O441" s="4"/>
      <c r="Y441" s="153"/>
      <c r="AK441" s="40" t="s">
        <v>338</v>
      </c>
      <c r="BI441" s="154"/>
      <c r="BJ441" s="20"/>
    </row>
    <row r="442" spans="1:62" s="19" customFormat="1" ht="18.75" customHeight="1" x14ac:dyDescent="0.2">
      <c r="A442" s="270" t="s">
        <v>341</v>
      </c>
      <c r="B442" s="165" t="s">
        <v>342</v>
      </c>
      <c r="C442" s="298" t="s">
        <v>230</v>
      </c>
      <c r="D442" s="15">
        <f>1763.78*1.05</f>
        <v>1851.97</v>
      </c>
      <c r="E442" s="16">
        <f t="shared" si="32"/>
        <v>370.39</v>
      </c>
      <c r="F442" s="164">
        <f t="shared" si="33"/>
        <v>2222.36</v>
      </c>
      <c r="G442" s="143"/>
      <c r="H442" s="4"/>
      <c r="I442" s="72"/>
      <c r="J442" s="4"/>
      <c r="K442" s="42"/>
      <c r="L442" s="4"/>
      <c r="M442" s="4"/>
      <c r="N442" s="4"/>
      <c r="O442" s="4"/>
      <c r="Y442" s="153"/>
      <c r="AK442" s="40" t="s">
        <v>338</v>
      </c>
      <c r="BI442" s="154"/>
      <c r="BJ442" s="20"/>
    </row>
    <row r="443" spans="1:62" s="19" customFormat="1" ht="18.75" customHeight="1" x14ac:dyDescent="0.2">
      <c r="A443" s="270" t="s">
        <v>343</v>
      </c>
      <c r="B443" s="165" t="s">
        <v>344</v>
      </c>
      <c r="C443" s="298" t="s">
        <v>230</v>
      </c>
      <c r="D443" s="15">
        <f>1762.97*1.05</f>
        <v>1851.12</v>
      </c>
      <c r="E443" s="16">
        <f t="shared" si="32"/>
        <v>370.22</v>
      </c>
      <c r="F443" s="164">
        <f t="shared" si="33"/>
        <v>2221.34</v>
      </c>
      <c r="G443" s="143"/>
      <c r="H443" s="4"/>
      <c r="I443" s="72"/>
      <c r="J443" s="4"/>
      <c r="K443" s="42"/>
      <c r="L443" s="4"/>
      <c r="M443" s="4"/>
      <c r="N443" s="4"/>
      <c r="O443" s="4"/>
      <c r="Y443" s="153"/>
      <c r="AK443" s="40" t="s">
        <v>338</v>
      </c>
      <c r="BI443" s="154"/>
      <c r="BJ443" s="20"/>
    </row>
    <row r="444" spans="1:62" s="19" customFormat="1" ht="18.75" customHeight="1" x14ac:dyDescent="0.2">
      <c r="A444" s="270" t="s">
        <v>345</v>
      </c>
      <c r="B444" s="165" t="s">
        <v>346</v>
      </c>
      <c r="C444" s="298" t="s">
        <v>230</v>
      </c>
      <c r="D444" s="15">
        <f>1762.97*1.05</f>
        <v>1851.12</v>
      </c>
      <c r="E444" s="16">
        <f>D444*20%</f>
        <v>370.22</v>
      </c>
      <c r="F444" s="164">
        <f>D444+E444</f>
        <v>2221.34</v>
      </c>
      <c r="G444" s="143"/>
      <c r="H444" s="4"/>
      <c r="I444" s="72"/>
      <c r="J444" s="4"/>
      <c r="K444" s="42"/>
      <c r="L444" s="4"/>
      <c r="M444" s="4"/>
      <c r="N444" s="4"/>
      <c r="O444" s="4"/>
      <c r="Y444" s="153"/>
      <c r="AK444" s="40"/>
      <c r="BI444" s="154"/>
      <c r="BJ444" s="20"/>
    </row>
    <row r="445" spans="1:62" s="19" customFormat="1" ht="33" customHeight="1" x14ac:dyDescent="0.2">
      <c r="A445" s="270" t="s">
        <v>347</v>
      </c>
      <c r="B445" s="285" t="s">
        <v>348</v>
      </c>
      <c r="C445" s="298" t="s">
        <v>230</v>
      </c>
      <c r="D445" s="164">
        <f>735.24*1.05</f>
        <v>772</v>
      </c>
      <c r="E445" s="16">
        <f t="shared" si="32"/>
        <v>154.4</v>
      </c>
      <c r="F445" s="164">
        <f>D445+E445</f>
        <v>926.4</v>
      </c>
      <c r="G445" s="143"/>
      <c r="H445" s="4"/>
      <c r="I445" s="72"/>
      <c r="J445" s="4"/>
      <c r="K445" s="42"/>
      <c r="L445" s="4"/>
      <c r="M445" s="4"/>
      <c r="N445" s="4"/>
      <c r="O445" s="4"/>
      <c r="Y445" s="153"/>
      <c r="BI445" s="154"/>
      <c r="BJ445" s="20"/>
    </row>
    <row r="446" spans="1:62" s="19" customFormat="1" ht="30.75" customHeight="1" x14ac:dyDescent="0.2">
      <c r="A446" s="270" t="s">
        <v>349</v>
      </c>
      <c r="B446" s="165" t="s">
        <v>350</v>
      </c>
      <c r="C446" s="298" t="s">
        <v>230</v>
      </c>
      <c r="D446" s="164">
        <f>593.52*1.05</f>
        <v>623.20000000000005</v>
      </c>
      <c r="E446" s="16">
        <f t="shared" si="32"/>
        <v>124.64</v>
      </c>
      <c r="F446" s="164">
        <f>D446+E446</f>
        <v>747.84</v>
      </c>
      <c r="G446" s="143"/>
      <c r="H446" s="4"/>
      <c r="I446" s="72"/>
      <c r="J446" s="4"/>
      <c r="K446" s="42"/>
      <c r="L446" s="4"/>
      <c r="M446" s="4"/>
      <c r="N446" s="4"/>
      <c r="O446" s="4"/>
      <c r="Y446" s="153"/>
      <c r="BI446" s="154"/>
      <c r="BJ446" s="20"/>
    </row>
    <row r="447" spans="1:62" s="19" customFormat="1" ht="22.5" customHeight="1" x14ac:dyDescent="0.2">
      <c r="A447" s="270" t="s">
        <v>351</v>
      </c>
      <c r="B447" s="326" t="s">
        <v>352</v>
      </c>
      <c r="C447" s="326"/>
      <c r="D447" s="326"/>
      <c r="E447" s="326"/>
      <c r="F447" s="326"/>
      <c r="G447" s="143"/>
      <c r="H447" s="4"/>
      <c r="I447" s="72"/>
      <c r="J447" s="4"/>
      <c r="K447" s="42"/>
      <c r="L447" s="4"/>
      <c r="M447" s="4"/>
      <c r="N447" s="4"/>
      <c r="O447" s="4"/>
      <c r="Y447" s="153"/>
      <c r="BI447" s="154"/>
      <c r="BJ447" s="20"/>
    </row>
    <row r="448" spans="1:62" s="19" customFormat="1" ht="18.75" customHeight="1" x14ac:dyDescent="0.2">
      <c r="A448" s="270" t="s">
        <v>353</v>
      </c>
      <c r="B448" s="165" t="s">
        <v>354</v>
      </c>
      <c r="C448" s="298" t="s">
        <v>230</v>
      </c>
      <c r="D448" s="168">
        <f>735.24*1.05</f>
        <v>772</v>
      </c>
      <c r="E448" s="16">
        <f>D448*20%</f>
        <v>154.4</v>
      </c>
      <c r="F448" s="164">
        <f>D448+E448</f>
        <v>926.4</v>
      </c>
      <c r="G448" s="143"/>
      <c r="H448" s="4"/>
      <c r="I448" s="72"/>
      <c r="J448" s="4"/>
      <c r="K448" s="42"/>
      <c r="L448" s="4"/>
      <c r="M448" s="4"/>
      <c r="N448" s="4"/>
      <c r="O448" s="4"/>
      <c r="Y448" s="153"/>
      <c r="BI448" s="154"/>
      <c r="BJ448" s="20"/>
    </row>
    <row r="449" spans="1:62" s="19" customFormat="1" ht="18.75" customHeight="1" x14ac:dyDescent="0.2">
      <c r="A449" s="270" t="s">
        <v>355</v>
      </c>
      <c r="B449" s="165" t="s">
        <v>356</v>
      </c>
      <c r="C449" s="298" t="s">
        <v>230</v>
      </c>
      <c r="D449" s="168">
        <f>735.24*1.05</f>
        <v>772</v>
      </c>
      <c r="E449" s="16">
        <f>D449*20%</f>
        <v>154.4</v>
      </c>
      <c r="F449" s="164">
        <f>D449+E449</f>
        <v>926.4</v>
      </c>
      <c r="G449" s="143"/>
      <c r="H449" s="4"/>
      <c r="I449" s="72"/>
      <c r="J449" s="4"/>
      <c r="K449" s="42"/>
      <c r="L449" s="4"/>
      <c r="M449" s="4"/>
      <c r="N449" s="4"/>
      <c r="O449" s="4"/>
      <c r="Y449" s="153"/>
      <c r="BI449" s="154"/>
      <c r="BJ449" s="20"/>
    </row>
    <row r="450" spans="1:62" s="19" customFormat="1" ht="19.5" customHeight="1" x14ac:dyDescent="0.2">
      <c r="A450" s="270" t="s">
        <v>357</v>
      </c>
      <c r="B450" s="165" t="s">
        <v>358</v>
      </c>
      <c r="C450" s="298" t="s">
        <v>230</v>
      </c>
      <c r="D450" s="168">
        <f>1353.95*1.05</f>
        <v>1421.65</v>
      </c>
      <c r="E450" s="16">
        <f>D450*20%</f>
        <v>284.33</v>
      </c>
      <c r="F450" s="164">
        <f>D450+E450</f>
        <v>1705.98</v>
      </c>
      <c r="G450" s="143"/>
      <c r="H450" s="4"/>
      <c r="I450" s="72"/>
      <c r="J450" s="4"/>
      <c r="K450" s="42"/>
      <c r="L450" s="4"/>
      <c r="M450" s="4"/>
      <c r="N450" s="4"/>
      <c r="O450" s="4"/>
      <c r="Y450" s="153"/>
      <c r="BI450" s="154"/>
      <c r="BJ450" s="20"/>
    </row>
    <row r="451" spans="1:62" s="19" customFormat="1" ht="34.5" customHeight="1" x14ac:dyDescent="0.2">
      <c r="A451" s="270" t="s">
        <v>359</v>
      </c>
      <c r="B451" s="165" t="s">
        <v>360</v>
      </c>
      <c r="C451" s="298" t="s">
        <v>230</v>
      </c>
      <c r="D451" s="15">
        <f>1046.62*1.05</f>
        <v>1098.95</v>
      </c>
      <c r="E451" s="16">
        <f>D451*20%</f>
        <v>219.79</v>
      </c>
      <c r="F451" s="164">
        <f>D451+E451</f>
        <v>1318.74</v>
      </c>
      <c r="G451" s="143"/>
      <c r="H451" s="4"/>
      <c r="I451" s="72"/>
      <c r="J451" s="4"/>
      <c r="K451" s="42"/>
      <c r="L451" s="4"/>
      <c r="M451" s="4"/>
      <c r="N451" s="4"/>
      <c r="O451" s="4"/>
      <c r="Y451" s="153"/>
      <c r="BI451" s="154"/>
      <c r="BJ451" s="20"/>
    </row>
    <row r="452" spans="1:62" s="19" customFormat="1" ht="33" customHeight="1" x14ac:dyDescent="0.2">
      <c r="A452" s="270" t="s">
        <v>361</v>
      </c>
      <c r="B452" s="347" t="s">
        <v>362</v>
      </c>
      <c r="C452" s="347"/>
      <c r="D452" s="347"/>
      <c r="E452" s="347"/>
      <c r="F452" s="347"/>
      <c r="G452" s="143"/>
      <c r="H452" s="4"/>
      <c r="I452" s="72"/>
      <c r="J452" s="4"/>
      <c r="K452" s="42"/>
      <c r="L452" s="4"/>
      <c r="M452" s="4"/>
      <c r="N452" s="4"/>
      <c r="O452" s="4"/>
      <c r="Y452" s="153"/>
      <c r="BI452" s="154"/>
      <c r="BJ452" s="20"/>
    </row>
    <row r="453" spans="1:62" s="19" customFormat="1" ht="22.5" customHeight="1" x14ac:dyDescent="0.2">
      <c r="A453" s="270" t="s">
        <v>363</v>
      </c>
      <c r="B453" s="165" t="s">
        <v>364</v>
      </c>
      <c r="C453" s="298" t="s">
        <v>230</v>
      </c>
      <c r="D453" s="15">
        <f>1941.65*1.05</f>
        <v>2038.73</v>
      </c>
      <c r="E453" s="16">
        <f t="shared" ref="E453:E466" si="34">D453*20%</f>
        <v>407.75</v>
      </c>
      <c r="F453" s="164">
        <f t="shared" ref="F453:F466" si="35">D453+E453</f>
        <v>2446.48</v>
      </c>
      <c r="G453" s="143"/>
      <c r="H453" s="4"/>
      <c r="I453" s="72"/>
      <c r="J453" s="4"/>
      <c r="K453" s="42"/>
      <c r="L453" s="4"/>
      <c r="M453" s="4"/>
      <c r="N453" s="4"/>
      <c r="O453" s="4"/>
      <c r="Y453" s="153"/>
      <c r="BI453" s="154"/>
      <c r="BJ453" s="20"/>
    </row>
    <row r="454" spans="1:62" s="19" customFormat="1" ht="19.5" customHeight="1" x14ac:dyDescent="0.2">
      <c r="A454" s="270" t="s">
        <v>365</v>
      </c>
      <c r="B454" s="165" t="s">
        <v>366</v>
      </c>
      <c r="C454" s="298" t="s">
        <v>230</v>
      </c>
      <c r="D454" s="15">
        <f>1353.95*1.05</f>
        <v>1421.65</v>
      </c>
      <c r="E454" s="16">
        <f t="shared" si="34"/>
        <v>284.33</v>
      </c>
      <c r="F454" s="164">
        <f t="shared" si="35"/>
        <v>1705.98</v>
      </c>
      <c r="G454" s="143"/>
      <c r="H454" s="4"/>
      <c r="I454" s="72"/>
      <c r="J454" s="4"/>
      <c r="K454" s="42"/>
      <c r="L454" s="4"/>
      <c r="M454" s="4"/>
      <c r="N454" s="4"/>
      <c r="O454" s="4"/>
      <c r="Y454" s="153"/>
      <c r="BI454" s="154"/>
      <c r="BJ454" s="20"/>
    </row>
    <row r="455" spans="1:62" s="19" customFormat="1" ht="22.5" customHeight="1" x14ac:dyDescent="0.2">
      <c r="A455" s="270" t="s">
        <v>367</v>
      </c>
      <c r="B455" s="165" t="s">
        <v>368</v>
      </c>
      <c r="C455" s="298" t="s">
        <v>230</v>
      </c>
      <c r="D455" s="15">
        <f>1523.12*1.05</f>
        <v>1599.28</v>
      </c>
      <c r="E455" s="16">
        <f t="shared" si="34"/>
        <v>319.86</v>
      </c>
      <c r="F455" s="164">
        <f t="shared" si="35"/>
        <v>1919.14</v>
      </c>
      <c r="G455" s="143"/>
      <c r="H455" s="4"/>
      <c r="I455" s="72"/>
      <c r="J455" s="4"/>
      <c r="K455" s="42"/>
      <c r="L455" s="4"/>
      <c r="M455" s="4"/>
      <c r="N455" s="4"/>
      <c r="O455" s="4"/>
      <c r="Y455" s="153"/>
      <c r="BI455" s="154"/>
      <c r="BJ455" s="20"/>
    </row>
    <row r="456" spans="1:62" s="19" customFormat="1" ht="19.5" customHeight="1" x14ac:dyDescent="0.2">
      <c r="A456" s="270" t="s">
        <v>369</v>
      </c>
      <c r="B456" s="165" t="s">
        <v>370</v>
      </c>
      <c r="C456" s="298" t="s">
        <v>230</v>
      </c>
      <c r="D456" s="15">
        <f>1617.17*1.05</f>
        <v>1698.03</v>
      </c>
      <c r="E456" s="16">
        <f t="shared" si="34"/>
        <v>339.61</v>
      </c>
      <c r="F456" s="164">
        <f t="shared" si="35"/>
        <v>2037.64</v>
      </c>
      <c r="G456" s="143"/>
      <c r="H456" s="4"/>
      <c r="I456" s="72"/>
      <c r="J456" s="4"/>
      <c r="K456" s="42"/>
      <c r="L456" s="4"/>
      <c r="M456" s="4"/>
      <c r="N456" s="4"/>
      <c r="O456" s="4"/>
      <c r="Y456" s="153"/>
      <c r="BI456" s="154"/>
      <c r="BJ456" s="20"/>
    </row>
    <row r="457" spans="1:62" s="19" customFormat="1" ht="23.25" customHeight="1" x14ac:dyDescent="0.2">
      <c r="A457" s="270" t="s">
        <v>371</v>
      </c>
      <c r="B457" s="165" t="s">
        <v>372</v>
      </c>
      <c r="C457" s="298" t="s">
        <v>230</v>
      </c>
      <c r="D457" s="15">
        <f>1473.35*1.05</f>
        <v>1547.02</v>
      </c>
      <c r="E457" s="16">
        <f t="shared" si="34"/>
        <v>309.39999999999998</v>
      </c>
      <c r="F457" s="164">
        <f t="shared" si="35"/>
        <v>1856.42</v>
      </c>
      <c r="G457" s="143"/>
      <c r="H457" s="4"/>
      <c r="I457" s="72"/>
      <c r="J457" s="4"/>
      <c r="K457" s="42"/>
      <c r="L457" s="4"/>
      <c r="M457" s="4"/>
      <c r="N457" s="4"/>
      <c r="O457" s="4"/>
      <c r="Y457" s="153"/>
      <c r="BI457" s="154"/>
      <c r="BJ457" s="20"/>
    </row>
    <row r="458" spans="1:62" s="19" customFormat="1" ht="24.75" customHeight="1" x14ac:dyDescent="0.2">
      <c r="A458" s="270" t="s">
        <v>373</v>
      </c>
      <c r="B458" s="165" t="s">
        <v>374</v>
      </c>
      <c r="C458" s="298" t="s">
        <v>230</v>
      </c>
      <c r="D458" s="15">
        <f>1699.46*1.05</f>
        <v>1784.43</v>
      </c>
      <c r="E458" s="16">
        <f t="shared" si="34"/>
        <v>356.89</v>
      </c>
      <c r="F458" s="164">
        <f t="shared" si="35"/>
        <v>2141.3200000000002</v>
      </c>
      <c r="G458" s="143"/>
      <c r="H458" s="4"/>
      <c r="I458" s="72"/>
      <c r="J458" s="4"/>
      <c r="K458" s="42"/>
      <c r="L458" s="4"/>
      <c r="M458" s="4"/>
      <c r="N458" s="4"/>
      <c r="O458" s="4"/>
      <c r="Y458" s="153"/>
      <c r="BI458" s="154"/>
      <c r="BJ458" s="20"/>
    </row>
    <row r="459" spans="1:62" s="19" customFormat="1" ht="22.5" customHeight="1" x14ac:dyDescent="0.2">
      <c r="A459" s="270" t="s">
        <v>375</v>
      </c>
      <c r="B459" s="165" t="s">
        <v>376</v>
      </c>
      <c r="C459" s="298" t="s">
        <v>230</v>
      </c>
      <c r="D459" s="15">
        <f>1951.6*1.05</f>
        <v>2049.1799999999998</v>
      </c>
      <c r="E459" s="16">
        <f>D467*20%</f>
        <v>428.56</v>
      </c>
      <c r="F459" s="164">
        <f t="shared" si="35"/>
        <v>2477.7399999999998</v>
      </c>
      <c r="G459" s="154"/>
      <c r="H459" s="4"/>
      <c r="I459" s="72"/>
      <c r="J459" s="4"/>
      <c r="K459" s="42"/>
      <c r="L459" s="4"/>
      <c r="M459" s="4"/>
      <c r="N459" s="4"/>
      <c r="O459" s="4"/>
      <c r="Y459" s="153"/>
      <c r="AK459" s="19" t="s">
        <v>377</v>
      </c>
      <c r="BI459" s="154"/>
      <c r="BJ459" s="20"/>
    </row>
    <row r="460" spans="1:62" s="19" customFormat="1" ht="21.75" customHeight="1" x14ac:dyDescent="0.2">
      <c r="A460" s="270" t="s">
        <v>378</v>
      </c>
      <c r="B460" s="165" t="s">
        <v>379</v>
      </c>
      <c r="C460" s="298" t="s">
        <v>230</v>
      </c>
      <c r="D460" s="15">
        <f>1353.95*1.05</f>
        <v>1421.65</v>
      </c>
      <c r="E460" s="16">
        <f t="shared" si="34"/>
        <v>284.33</v>
      </c>
      <c r="F460" s="164">
        <f t="shared" si="35"/>
        <v>1705.98</v>
      </c>
      <c r="G460" s="143"/>
      <c r="H460" s="4"/>
      <c r="I460" s="72"/>
      <c r="J460" s="4"/>
      <c r="K460" s="42"/>
      <c r="L460" s="4"/>
      <c r="M460" s="4"/>
      <c r="N460" s="4"/>
      <c r="O460" s="4"/>
      <c r="Y460" s="153"/>
      <c r="BI460" s="154"/>
      <c r="BJ460" s="20"/>
    </row>
    <row r="461" spans="1:62" s="19" customFormat="1" ht="20.25" customHeight="1" x14ac:dyDescent="0.2">
      <c r="A461" s="270" t="s">
        <v>380</v>
      </c>
      <c r="B461" s="165" t="s">
        <v>381</v>
      </c>
      <c r="C461" s="298" t="s">
        <v>230</v>
      </c>
      <c r="D461" s="15">
        <f>1641.31*1.05</f>
        <v>1723.38</v>
      </c>
      <c r="E461" s="16">
        <f t="shared" si="34"/>
        <v>344.68</v>
      </c>
      <c r="F461" s="164">
        <f t="shared" si="35"/>
        <v>2068.06</v>
      </c>
      <c r="G461" s="143"/>
      <c r="H461" s="4"/>
      <c r="I461" s="72"/>
      <c r="J461" s="4"/>
      <c r="K461" s="42"/>
      <c r="L461" s="4"/>
      <c r="M461" s="4"/>
      <c r="N461" s="4"/>
      <c r="O461" s="4"/>
      <c r="Y461" s="153"/>
      <c r="BI461" s="154"/>
      <c r="BJ461" s="20"/>
    </row>
    <row r="462" spans="1:62" s="19" customFormat="1" ht="20.25" customHeight="1" x14ac:dyDescent="0.2">
      <c r="A462" s="270" t="s">
        <v>382</v>
      </c>
      <c r="B462" s="165" t="s">
        <v>383</v>
      </c>
      <c r="C462" s="298" t="s">
        <v>230</v>
      </c>
      <c r="D462" s="15">
        <f>1426.37*1.05</f>
        <v>1497.69</v>
      </c>
      <c r="E462" s="16">
        <f t="shared" si="34"/>
        <v>299.54000000000002</v>
      </c>
      <c r="F462" s="164">
        <f t="shared" si="35"/>
        <v>1797.23</v>
      </c>
      <c r="G462" s="143"/>
      <c r="H462" s="4"/>
      <c r="I462" s="72"/>
      <c r="J462" s="4"/>
      <c r="K462" s="42"/>
      <c r="L462" s="4"/>
      <c r="M462" s="4"/>
      <c r="N462" s="4"/>
      <c r="O462" s="4"/>
      <c r="Y462" s="153"/>
      <c r="BI462" s="154"/>
      <c r="BJ462" s="20"/>
    </row>
    <row r="463" spans="1:62" s="19" customFormat="1" ht="22.5" customHeight="1" x14ac:dyDescent="0.2">
      <c r="A463" s="270" t="s">
        <v>384</v>
      </c>
      <c r="B463" s="165" t="s">
        <v>385</v>
      </c>
      <c r="C463" s="298" t="s">
        <v>230</v>
      </c>
      <c r="D463" s="15">
        <f>1426.37*1.05</f>
        <v>1497.69</v>
      </c>
      <c r="E463" s="16">
        <f t="shared" si="34"/>
        <v>299.54000000000002</v>
      </c>
      <c r="F463" s="164">
        <f t="shared" si="35"/>
        <v>1797.23</v>
      </c>
      <c r="G463" s="143"/>
      <c r="H463" s="4"/>
      <c r="I463" s="72"/>
      <c r="J463" s="4"/>
      <c r="K463" s="42"/>
      <c r="L463" s="4"/>
      <c r="M463" s="4"/>
      <c r="N463" s="4"/>
      <c r="O463" s="4"/>
      <c r="Y463" s="153"/>
      <c r="BI463" s="154"/>
      <c r="BJ463" s="20"/>
    </row>
    <row r="464" spans="1:62" s="19" customFormat="1" ht="21.75" customHeight="1" x14ac:dyDescent="0.2">
      <c r="A464" s="270" t="s">
        <v>386</v>
      </c>
      <c r="B464" s="165" t="s">
        <v>387</v>
      </c>
      <c r="C464" s="298" t="s">
        <v>230</v>
      </c>
      <c r="D464" s="15">
        <f>1426.37*1.05</f>
        <v>1497.69</v>
      </c>
      <c r="E464" s="16">
        <f t="shared" si="34"/>
        <v>299.54000000000002</v>
      </c>
      <c r="F464" s="164">
        <f t="shared" si="35"/>
        <v>1797.23</v>
      </c>
      <c r="G464" s="143"/>
      <c r="H464" s="4"/>
      <c r="I464" s="72"/>
      <c r="J464" s="4"/>
      <c r="K464" s="42"/>
      <c r="L464" s="4"/>
      <c r="M464" s="4"/>
      <c r="N464" s="4"/>
      <c r="O464" s="4"/>
      <c r="Y464" s="153"/>
      <c r="BI464" s="154"/>
      <c r="BJ464" s="20"/>
    </row>
    <row r="465" spans="1:62" s="19" customFormat="1" ht="21.75" customHeight="1" x14ac:dyDescent="0.2">
      <c r="A465" s="270" t="s">
        <v>388</v>
      </c>
      <c r="B465" s="165" t="s">
        <v>389</v>
      </c>
      <c r="C465" s="298" t="s">
        <v>230</v>
      </c>
      <c r="D465" s="15">
        <f>1544.93*1.05</f>
        <v>1622.18</v>
      </c>
      <c r="E465" s="16">
        <f t="shared" si="34"/>
        <v>324.44</v>
      </c>
      <c r="F465" s="164">
        <f t="shared" si="35"/>
        <v>1946.62</v>
      </c>
      <c r="G465" s="143"/>
      <c r="H465" s="4"/>
      <c r="I465" s="72"/>
      <c r="J465" s="4"/>
      <c r="K465" s="42"/>
      <c r="L465" s="4"/>
      <c r="M465" s="4"/>
      <c r="N465" s="4"/>
      <c r="O465" s="4"/>
      <c r="Y465" s="153"/>
      <c r="AK465" s="40" t="s">
        <v>338</v>
      </c>
      <c r="BI465" s="154"/>
      <c r="BJ465" s="20"/>
    </row>
    <row r="466" spans="1:62" s="19" customFormat="1" ht="21.75" customHeight="1" x14ac:dyDescent="0.2">
      <c r="A466" s="270" t="s">
        <v>390</v>
      </c>
      <c r="B466" s="165" t="s">
        <v>391</v>
      </c>
      <c r="C466" s="298" t="s">
        <v>230</v>
      </c>
      <c r="D466" s="15">
        <f>1352.43*1.05</f>
        <v>1420.05</v>
      </c>
      <c r="E466" s="16">
        <f t="shared" si="34"/>
        <v>284.01</v>
      </c>
      <c r="F466" s="164">
        <f t="shared" si="35"/>
        <v>1704.06</v>
      </c>
      <c r="G466" s="143"/>
      <c r="H466" s="4"/>
      <c r="I466" s="72"/>
      <c r="J466" s="4"/>
      <c r="K466" s="42"/>
      <c r="L466" s="4"/>
      <c r="M466" s="4"/>
      <c r="N466" s="4"/>
      <c r="O466" s="4"/>
      <c r="Y466" s="153"/>
      <c r="AK466" s="40" t="s">
        <v>338</v>
      </c>
      <c r="BI466" s="154"/>
      <c r="BJ466" s="20"/>
    </row>
    <row r="467" spans="1:62" s="19" customFormat="1" ht="21.75" customHeight="1" x14ac:dyDescent="0.2">
      <c r="A467" s="270" t="s">
        <v>392</v>
      </c>
      <c r="B467" s="169" t="s">
        <v>393</v>
      </c>
      <c r="C467" s="298" t="s">
        <v>230</v>
      </c>
      <c r="D467" s="15">
        <f>2040.74*1.05</f>
        <v>2142.7800000000002</v>
      </c>
      <c r="E467" s="16">
        <f>D467*20%</f>
        <v>428.56</v>
      </c>
      <c r="F467" s="164">
        <f>D467+E467</f>
        <v>2571.34</v>
      </c>
      <c r="G467" s="143"/>
      <c r="H467" s="4"/>
      <c r="I467" s="72"/>
      <c r="J467" s="4"/>
      <c r="K467" s="42"/>
      <c r="L467" s="4"/>
      <c r="M467" s="4"/>
      <c r="N467" s="4"/>
      <c r="O467" s="4"/>
      <c r="Y467" s="153"/>
      <c r="AK467" s="40"/>
      <c r="BI467" s="154"/>
      <c r="BJ467" s="20"/>
    </row>
    <row r="468" spans="1:62" s="19" customFormat="1" ht="32.25" customHeight="1" x14ac:dyDescent="0.2">
      <c r="A468" s="270" t="s">
        <v>394</v>
      </c>
      <c r="B468" s="347" t="s">
        <v>1844</v>
      </c>
      <c r="C468" s="347"/>
      <c r="D468" s="347"/>
      <c r="E468" s="347"/>
      <c r="F468" s="347"/>
      <c r="G468" s="143"/>
      <c r="H468" s="4"/>
      <c r="I468" s="72"/>
      <c r="J468" s="4"/>
      <c r="K468" s="42"/>
      <c r="L468" s="4"/>
      <c r="M468" s="4"/>
      <c r="N468" s="4"/>
      <c r="O468" s="4"/>
      <c r="Y468" s="153"/>
      <c r="BI468" s="154"/>
      <c r="BJ468" s="20"/>
    </row>
    <row r="469" spans="1:62" s="19" customFormat="1" ht="21.75" customHeight="1" x14ac:dyDescent="0.2">
      <c r="A469" s="270" t="s">
        <v>395</v>
      </c>
      <c r="B469" s="165" t="s">
        <v>396</v>
      </c>
      <c r="C469" s="298" t="s">
        <v>230</v>
      </c>
      <c r="D469" s="15">
        <f>5251.67*1.05</f>
        <v>5514.25</v>
      </c>
      <c r="E469" s="16">
        <f t="shared" ref="E469:E491" si="36">D469*20%</f>
        <v>1102.8499999999999</v>
      </c>
      <c r="F469" s="164">
        <f t="shared" ref="F469:F491" si="37">D469+E469</f>
        <v>6617.1</v>
      </c>
      <c r="G469" s="143"/>
      <c r="H469" s="4"/>
      <c r="I469" s="72"/>
      <c r="J469" s="4"/>
      <c r="K469" s="42"/>
      <c r="L469" s="4"/>
      <c r="M469" s="4"/>
      <c r="N469" s="4"/>
      <c r="O469" s="4"/>
      <c r="Y469" s="153"/>
      <c r="BI469" s="154"/>
      <c r="BJ469" s="20"/>
    </row>
    <row r="470" spans="1:62" s="19" customFormat="1" ht="23.25" customHeight="1" x14ac:dyDescent="0.2">
      <c r="A470" s="270" t="s">
        <v>397</v>
      </c>
      <c r="B470" s="165" t="s">
        <v>398</v>
      </c>
      <c r="C470" s="298" t="s">
        <v>230</v>
      </c>
      <c r="D470" s="15">
        <f>5417.52*1.05</f>
        <v>5688.4</v>
      </c>
      <c r="E470" s="16">
        <f t="shared" si="36"/>
        <v>1137.68</v>
      </c>
      <c r="F470" s="164">
        <f t="shared" si="37"/>
        <v>6826.08</v>
      </c>
      <c r="G470" s="143"/>
      <c r="H470" s="4"/>
      <c r="I470" s="72"/>
      <c r="J470" s="4"/>
      <c r="K470" s="42"/>
      <c r="L470" s="4"/>
      <c r="M470" s="4"/>
      <c r="N470" s="4"/>
      <c r="O470" s="4"/>
      <c r="Y470" s="153"/>
      <c r="BI470" s="154"/>
      <c r="BJ470" s="20"/>
    </row>
    <row r="471" spans="1:62" s="19" customFormat="1" ht="20.25" customHeight="1" x14ac:dyDescent="0.2">
      <c r="A471" s="270" t="s">
        <v>399</v>
      </c>
      <c r="B471" s="165" t="s">
        <v>400</v>
      </c>
      <c r="C471" s="298" t="s">
        <v>230</v>
      </c>
      <c r="D471" s="15">
        <f>5417.52*1.05</f>
        <v>5688.4</v>
      </c>
      <c r="E471" s="16">
        <f t="shared" si="36"/>
        <v>1137.68</v>
      </c>
      <c r="F471" s="164">
        <f t="shared" si="37"/>
        <v>6826.08</v>
      </c>
      <c r="G471" s="143"/>
      <c r="H471" s="4"/>
      <c r="I471" s="72"/>
      <c r="J471" s="4"/>
      <c r="K471" s="42"/>
      <c r="L471" s="4"/>
      <c r="M471" s="4"/>
      <c r="N471" s="4"/>
      <c r="O471" s="4"/>
      <c r="Y471" s="153"/>
      <c r="BI471" s="154"/>
      <c r="BJ471" s="20"/>
    </row>
    <row r="472" spans="1:62" s="19" customFormat="1" ht="35.25" customHeight="1" x14ac:dyDescent="0.2">
      <c r="A472" s="270" t="s">
        <v>401</v>
      </c>
      <c r="B472" s="165" t="s">
        <v>402</v>
      </c>
      <c r="C472" s="298" t="s">
        <v>230</v>
      </c>
      <c r="D472" s="15">
        <f>5133.6*1.05</f>
        <v>5390.28</v>
      </c>
      <c r="E472" s="16">
        <f t="shared" si="36"/>
        <v>1078.06</v>
      </c>
      <c r="F472" s="164">
        <f t="shared" si="37"/>
        <v>6468.34</v>
      </c>
      <c r="G472" s="143"/>
      <c r="H472" s="4"/>
      <c r="I472" s="72"/>
      <c r="J472" s="4"/>
      <c r="K472" s="42"/>
      <c r="L472" s="4"/>
      <c r="M472" s="4"/>
      <c r="N472" s="4"/>
      <c r="O472" s="4"/>
      <c r="Y472" s="153"/>
      <c r="BI472" s="154"/>
      <c r="BJ472" s="20"/>
    </row>
    <row r="473" spans="1:62" s="19" customFormat="1" ht="20.25" customHeight="1" x14ac:dyDescent="0.2">
      <c r="A473" s="270" t="s">
        <v>403</v>
      </c>
      <c r="B473" s="165" t="s">
        <v>404</v>
      </c>
      <c r="C473" s="298" t="s">
        <v>230</v>
      </c>
      <c r="D473" s="15">
        <f>5771.57*1.05</f>
        <v>6060.15</v>
      </c>
      <c r="E473" s="16">
        <f t="shared" si="36"/>
        <v>1212.03</v>
      </c>
      <c r="F473" s="164">
        <f t="shared" si="37"/>
        <v>7272.18</v>
      </c>
      <c r="G473" s="143"/>
      <c r="H473" s="4"/>
      <c r="I473" s="72"/>
      <c r="J473" s="4"/>
      <c r="K473" s="42"/>
      <c r="L473" s="4"/>
      <c r="M473" s="4"/>
      <c r="N473" s="4"/>
      <c r="O473" s="4"/>
      <c r="Y473" s="153"/>
      <c r="BI473" s="154"/>
      <c r="BJ473" s="20"/>
    </row>
    <row r="474" spans="1:62" s="19" customFormat="1" ht="17.25" customHeight="1" x14ac:dyDescent="0.2">
      <c r="A474" s="270" t="s">
        <v>405</v>
      </c>
      <c r="B474" s="165" t="s">
        <v>406</v>
      </c>
      <c r="C474" s="298" t="s">
        <v>230</v>
      </c>
      <c r="D474" s="15">
        <f>5771.57*1.05</f>
        <v>6060.15</v>
      </c>
      <c r="E474" s="16">
        <f t="shared" si="36"/>
        <v>1212.03</v>
      </c>
      <c r="F474" s="164">
        <f t="shared" si="37"/>
        <v>7272.18</v>
      </c>
      <c r="G474" s="143"/>
      <c r="H474" s="4"/>
      <c r="I474" s="72"/>
      <c r="J474" s="4"/>
      <c r="K474" s="42"/>
      <c r="L474" s="4"/>
      <c r="M474" s="4"/>
      <c r="N474" s="4"/>
      <c r="O474" s="4"/>
      <c r="Y474" s="153"/>
      <c r="BI474" s="154"/>
      <c r="BJ474" s="20"/>
    </row>
    <row r="475" spans="1:62" s="19" customFormat="1" ht="18" customHeight="1" x14ac:dyDescent="0.2">
      <c r="A475" s="270" t="s">
        <v>407</v>
      </c>
      <c r="B475" s="165" t="s">
        <v>408</v>
      </c>
      <c r="C475" s="298" t="s">
        <v>230</v>
      </c>
      <c r="D475" s="15">
        <f>5417.52*1.05</f>
        <v>5688.4</v>
      </c>
      <c r="E475" s="16">
        <f t="shared" si="36"/>
        <v>1137.68</v>
      </c>
      <c r="F475" s="164">
        <f t="shared" si="37"/>
        <v>6826.08</v>
      </c>
      <c r="G475" s="143"/>
      <c r="H475" s="4"/>
      <c r="I475" s="72"/>
      <c r="J475" s="4"/>
      <c r="K475" s="42"/>
      <c r="L475" s="4"/>
      <c r="M475" s="4"/>
      <c r="N475" s="4"/>
      <c r="O475" s="4"/>
      <c r="Y475" s="153"/>
      <c r="BI475" s="154"/>
      <c r="BJ475" s="20"/>
    </row>
    <row r="476" spans="1:62" s="19" customFormat="1" ht="19.5" customHeight="1" x14ac:dyDescent="0.2">
      <c r="A476" s="270" t="s">
        <v>409</v>
      </c>
      <c r="B476" s="165" t="s">
        <v>410</v>
      </c>
      <c r="C476" s="298" t="s">
        <v>230</v>
      </c>
      <c r="D476" s="15">
        <f>5771.57*1.05</f>
        <v>6060.15</v>
      </c>
      <c r="E476" s="16">
        <f t="shared" si="36"/>
        <v>1212.03</v>
      </c>
      <c r="F476" s="164">
        <f t="shared" si="37"/>
        <v>7272.18</v>
      </c>
      <c r="G476" s="143"/>
      <c r="H476" s="4"/>
      <c r="I476" s="72"/>
      <c r="J476" s="4"/>
      <c r="K476" s="42"/>
      <c r="L476" s="4"/>
      <c r="M476" s="4"/>
      <c r="N476" s="4"/>
      <c r="O476" s="4"/>
      <c r="Y476" s="153"/>
      <c r="BI476" s="154"/>
      <c r="BJ476" s="20"/>
    </row>
    <row r="477" spans="1:62" s="19" customFormat="1" ht="19.5" customHeight="1" x14ac:dyDescent="0.2">
      <c r="A477" s="270" t="s">
        <v>411</v>
      </c>
      <c r="B477" s="165" t="s">
        <v>412</v>
      </c>
      <c r="C477" s="298" t="s">
        <v>230</v>
      </c>
      <c r="D477" s="15">
        <f>5771.57*1.05</f>
        <v>6060.15</v>
      </c>
      <c r="E477" s="16">
        <f t="shared" si="36"/>
        <v>1212.03</v>
      </c>
      <c r="F477" s="164">
        <f t="shared" si="37"/>
        <v>7272.18</v>
      </c>
      <c r="G477" s="143"/>
      <c r="H477" s="4"/>
      <c r="I477" s="72"/>
      <c r="J477" s="4"/>
      <c r="K477" s="42"/>
      <c r="L477" s="4"/>
      <c r="M477" s="4"/>
      <c r="N477" s="4"/>
      <c r="O477" s="4"/>
      <c r="Y477" s="153"/>
      <c r="BI477" s="154"/>
      <c r="BJ477" s="20"/>
    </row>
    <row r="478" spans="1:62" s="19" customFormat="1" ht="20.25" customHeight="1" x14ac:dyDescent="0.2">
      <c r="A478" s="270" t="s">
        <v>413</v>
      </c>
      <c r="B478" s="165" t="s">
        <v>1861</v>
      </c>
      <c r="C478" s="298" t="s">
        <v>230</v>
      </c>
      <c r="D478" s="15">
        <f>5251.67*1.05</f>
        <v>5514.25</v>
      </c>
      <c r="E478" s="16">
        <f t="shared" si="36"/>
        <v>1102.8499999999999</v>
      </c>
      <c r="F478" s="164">
        <f t="shared" si="37"/>
        <v>6617.1</v>
      </c>
      <c r="G478" s="143"/>
      <c r="H478" s="4"/>
      <c r="I478" s="72"/>
      <c r="J478" s="4"/>
      <c r="K478" s="42"/>
      <c r="L478" s="4"/>
      <c r="M478" s="4"/>
      <c r="N478" s="4"/>
      <c r="O478" s="4"/>
      <c r="Y478" s="153"/>
      <c r="AK478" s="348" t="s">
        <v>414</v>
      </c>
      <c r="AL478" s="348"/>
      <c r="AM478" s="348"/>
      <c r="AN478" s="348"/>
      <c r="AO478" s="348"/>
      <c r="BI478" s="154"/>
      <c r="BJ478" s="20"/>
    </row>
    <row r="479" spans="1:62" s="19" customFormat="1" ht="19.5" customHeight="1" x14ac:dyDescent="0.2">
      <c r="A479" s="270" t="s">
        <v>1857</v>
      </c>
      <c r="B479" s="165" t="s">
        <v>1859</v>
      </c>
      <c r="C479" s="298" t="s">
        <v>230</v>
      </c>
      <c r="D479" s="15">
        <f>4306.57*1.05</f>
        <v>4521.8999999999996</v>
      </c>
      <c r="E479" s="16">
        <f t="shared" ref="E479:E480" si="38">D479*20%</f>
        <v>904.38</v>
      </c>
      <c r="F479" s="164">
        <f t="shared" ref="F479:F480" si="39">D479+E479</f>
        <v>5426.28</v>
      </c>
      <c r="G479" s="143"/>
      <c r="H479" s="4"/>
      <c r="I479" s="72"/>
      <c r="J479" s="4"/>
      <c r="K479" s="42"/>
      <c r="L479" s="4"/>
      <c r="M479" s="4"/>
      <c r="N479" s="4"/>
      <c r="O479" s="4"/>
      <c r="Y479" s="153"/>
      <c r="AK479" s="269"/>
      <c r="AL479" s="269"/>
      <c r="AM479" s="269"/>
      <c r="AN479" s="269"/>
      <c r="AO479" s="269"/>
      <c r="BI479" s="154"/>
      <c r="BJ479" s="20"/>
    </row>
    <row r="480" spans="1:62" s="19" customFormat="1" ht="20.25" customHeight="1" x14ac:dyDescent="0.2">
      <c r="A480" s="270" t="s">
        <v>1858</v>
      </c>
      <c r="B480" s="165" t="s">
        <v>1860</v>
      </c>
      <c r="C480" s="298" t="s">
        <v>230</v>
      </c>
      <c r="D480" s="15">
        <f>4500.66*1.05</f>
        <v>4725.6899999999996</v>
      </c>
      <c r="E480" s="16">
        <f t="shared" si="38"/>
        <v>945.14</v>
      </c>
      <c r="F480" s="164">
        <f t="shared" si="39"/>
        <v>5670.83</v>
      </c>
      <c r="G480" s="143"/>
      <c r="H480" s="4"/>
      <c r="I480" s="72"/>
      <c r="J480" s="4"/>
      <c r="K480" s="42"/>
      <c r="L480" s="4"/>
      <c r="M480" s="4"/>
      <c r="N480" s="4"/>
      <c r="O480" s="4"/>
      <c r="Y480" s="153"/>
      <c r="AK480" s="269"/>
      <c r="AL480" s="269"/>
      <c r="AM480" s="269"/>
      <c r="AN480" s="269"/>
      <c r="AO480" s="269"/>
      <c r="BI480" s="154"/>
      <c r="BJ480" s="20"/>
    </row>
    <row r="481" spans="1:63" s="19" customFormat="1" ht="25.5" customHeight="1" x14ac:dyDescent="0.2">
      <c r="A481" s="270" t="s">
        <v>415</v>
      </c>
      <c r="B481" s="170" t="s">
        <v>416</v>
      </c>
      <c r="C481" s="298" t="s">
        <v>230</v>
      </c>
      <c r="D481" s="15">
        <f>5563.88*1.05</f>
        <v>5842.07</v>
      </c>
      <c r="E481" s="16">
        <f t="shared" ref="E481:E487" si="40">D481*20%</f>
        <v>1168.4100000000001</v>
      </c>
      <c r="F481" s="164">
        <f t="shared" si="37"/>
        <v>7010.48</v>
      </c>
      <c r="G481" s="143"/>
      <c r="H481" s="4"/>
      <c r="I481" s="72"/>
      <c r="J481" s="4"/>
      <c r="K481" s="42"/>
      <c r="L481" s="4"/>
      <c r="M481" s="4"/>
      <c r="N481" s="4"/>
      <c r="O481" s="4"/>
      <c r="Y481" s="153"/>
      <c r="AK481" s="171"/>
      <c r="AL481" s="171"/>
      <c r="AM481" s="171"/>
      <c r="AN481" s="171"/>
      <c r="AO481" s="171"/>
      <c r="BI481" s="154"/>
      <c r="BJ481" s="20"/>
      <c r="BK481" s="343" t="s">
        <v>417</v>
      </c>
    </row>
    <row r="482" spans="1:63" s="19" customFormat="1" ht="30" customHeight="1" x14ac:dyDescent="0.2">
      <c r="A482" s="270" t="s">
        <v>418</v>
      </c>
      <c r="B482" s="170" t="s">
        <v>419</v>
      </c>
      <c r="C482" s="298" t="s">
        <v>230</v>
      </c>
      <c r="D482" s="15">
        <f>5737.83*1.05</f>
        <v>6024.72</v>
      </c>
      <c r="E482" s="16">
        <f t="shared" si="40"/>
        <v>1204.94</v>
      </c>
      <c r="F482" s="164">
        <f t="shared" si="37"/>
        <v>7229.66</v>
      </c>
      <c r="G482" s="143"/>
      <c r="H482" s="4"/>
      <c r="I482" s="72"/>
      <c r="J482" s="4"/>
      <c r="K482" s="42"/>
      <c r="L482" s="4"/>
      <c r="M482" s="4"/>
      <c r="N482" s="4"/>
      <c r="O482" s="4"/>
      <c r="Y482" s="153"/>
      <c r="AK482" s="171"/>
      <c r="AL482" s="171"/>
      <c r="AM482" s="171"/>
      <c r="AN482" s="171"/>
      <c r="AO482" s="171"/>
      <c r="BI482" s="154"/>
      <c r="BJ482" s="20"/>
      <c r="BK482" s="343"/>
    </row>
    <row r="483" spans="1:63" s="19" customFormat="1" ht="18.75" customHeight="1" x14ac:dyDescent="0.2">
      <c r="A483" s="270" t="s">
        <v>1838</v>
      </c>
      <c r="B483" s="170" t="s">
        <v>1843</v>
      </c>
      <c r="C483" s="298" t="s">
        <v>230</v>
      </c>
      <c r="D483" s="15">
        <f>6071.7*1.05</f>
        <v>6375.29</v>
      </c>
      <c r="E483" s="16">
        <f t="shared" si="40"/>
        <v>1275.06</v>
      </c>
      <c r="F483" s="164">
        <f t="shared" ref="F483" si="41">D483+E483</f>
        <v>7650.35</v>
      </c>
      <c r="G483" s="143"/>
      <c r="H483" s="4"/>
      <c r="I483" s="72"/>
      <c r="J483" s="4"/>
      <c r="K483" s="42"/>
      <c r="L483" s="4"/>
      <c r="M483" s="4"/>
      <c r="N483" s="4"/>
      <c r="O483" s="4"/>
      <c r="Y483" s="153"/>
      <c r="AK483" s="268"/>
      <c r="AL483" s="268"/>
      <c r="AM483" s="268"/>
      <c r="AN483" s="268"/>
      <c r="AO483" s="268"/>
      <c r="BI483" s="154"/>
      <c r="BJ483" s="20"/>
      <c r="BK483" s="267"/>
    </row>
    <row r="484" spans="1:63" s="19" customFormat="1" ht="20.25" customHeight="1" x14ac:dyDescent="0.2">
      <c r="A484" s="270" t="s">
        <v>1839</v>
      </c>
      <c r="B484" s="170" t="s">
        <v>1845</v>
      </c>
      <c r="C484" s="298" t="s">
        <v>230</v>
      </c>
      <c r="D484" s="15">
        <f>6090.5*1.05</f>
        <v>6395.03</v>
      </c>
      <c r="E484" s="16">
        <f t="shared" si="40"/>
        <v>1279.01</v>
      </c>
      <c r="F484" s="164">
        <f t="shared" ref="F484" si="42">D484+E484</f>
        <v>7674.04</v>
      </c>
      <c r="G484" s="143"/>
      <c r="H484" s="4"/>
      <c r="I484" s="72"/>
      <c r="J484" s="4"/>
      <c r="K484" s="42"/>
      <c r="L484" s="4"/>
      <c r="M484" s="4"/>
      <c r="N484" s="4"/>
      <c r="O484" s="4"/>
      <c r="Y484" s="153"/>
      <c r="AK484" s="268"/>
      <c r="AL484" s="268"/>
      <c r="AM484" s="268"/>
      <c r="AN484" s="268"/>
      <c r="AO484" s="268"/>
      <c r="BI484" s="154"/>
      <c r="BJ484" s="20"/>
      <c r="BK484" s="267"/>
    </row>
    <row r="485" spans="1:63" s="19" customFormat="1" ht="32.25" customHeight="1" x14ac:dyDescent="0.2">
      <c r="A485" s="270" t="s">
        <v>1840</v>
      </c>
      <c r="B485" s="170" t="s">
        <v>1846</v>
      </c>
      <c r="C485" s="298" t="s">
        <v>230</v>
      </c>
      <c r="D485" s="15">
        <f>6044.73*1.05</f>
        <v>6346.97</v>
      </c>
      <c r="E485" s="16">
        <f t="shared" si="40"/>
        <v>1269.3900000000001</v>
      </c>
      <c r="F485" s="164">
        <f t="shared" ref="F485" si="43">D485+E485</f>
        <v>7616.36</v>
      </c>
      <c r="G485" s="143"/>
      <c r="H485" s="4"/>
      <c r="I485" s="72"/>
      <c r="J485" s="4"/>
      <c r="K485" s="42"/>
      <c r="L485" s="4"/>
      <c r="M485" s="4"/>
      <c r="N485" s="4"/>
      <c r="O485" s="4"/>
      <c r="Y485" s="153"/>
      <c r="AK485" s="268"/>
      <c r="AL485" s="268"/>
      <c r="AM485" s="268"/>
      <c r="AN485" s="268"/>
      <c r="AO485" s="268"/>
      <c r="BI485" s="154"/>
      <c r="BJ485" s="20"/>
      <c r="BK485" s="267"/>
    </row>
    <row r="486" spans="1:63" s="19" customFormat="1" ht="19.5" customHeight="1" x14ac:dyDescent="0.2">
      <c r="A486" s="270" t="s">
        <v>1841</v>
      </c>
      <c r="B486" s="170" t="s">
        <v>1847</v>
      </c>
      <c r="C486" s="298" t="s">
        <v>230</v>
      </c>
      <c r="D486" s="15">
        <f>5715.5*1.05</f>
        <v>6001.28</v>
      </c>
      <c r="E486" s="16">
        <f t="shared" si="40"/>
        <v>1200.26</v>
      </c>
      <c r="F486" s="164">
        <f t="shared" ref="F486" si="44">D486+E486</f>
        <v>7201.54</v>
      </c>
      <c r="G486" s="143"/>
      <c r="H486" s="4"/>
      <c r="I486" s="72"/>
      <c r="J486" s="4"/>
      <c r="K486" s="42"/>
      <c r="L486" s="4"/>
      <c r="M486" s="4"/>
      <c r="N486" s="4"/>
      <c r="O486" s="4"/>
      <c r="Y486" s="153"/>
      <c r="AK486" s="268"/>
      <c r="AL486" s="268"/>
      <c r="AM486" s="268"/>
      <c r="AN486" s="268"/>
      <c r="AO486" s="268"/>
      <c r="BI486" s="154"/>
      <c r="BJ486" s="20"/>
      <c r="BK486" s="267"/>
    </row>
    <row r="487" spans="1:63" s="19" customFormat="1" ht="21.75" customHeight="1" x14ac:dyDescent="0.2">
      <c r="A487" s="270" t="s">
        <v>1842</v>
      </c>
      <c r="B487" s="170" t="s">
        <v>1848</v>
      </c>
      <c r="C487" s="298" t="s">
        <v>230</v>
      </c>
      <c r="D487" s="15">
        <f>5715.5*1.05</f>
        <v>6001.28</v>
      </c>
      <c r="E487" s="16">
        <f t="shared" si="40"/>
        <v>1200.26</v>
      </c>
      <c r="F487" s="164">
        <f t="shared" ref="F487" si="45">D487+E487</f>
        <v>7201.54</v>
      </c>
      <c r="G487" s="143"/>
      <c r="H487" s="4"/>
      <c r="I487" s="72"/>
      <c r="J487" s="4"/>
      <c r="K487" s="42"/>
      <c r="L487" s="4"/>
      <c r="M487" s="4"/>
      <c r="N487" s="4"/>
      <c r="O487" s="4"/>
      <c r="Y487" s="153"/>
      <c r="AK487" s="268"/>
      <c r="AL487" s="268"/>
      <c r="AM487" s="268"/>
      <c r="AN487" s="268"/>
      <c r="AO487" s="268"/>
      <c r="BI487" s="154"/>
      <c r="BJ487" s="20"/>
      <c r="BK487" s="267"/>
    </row>
    <row r="488" spans="1:63" s="19" customFormat="1" ht="30.75" customHeight="1" x14ac:dyDescent="0.2">
      <c r="A488" s="270" t="s">
        <v>420</v>
      </c>
      <c r="B488" s="165" t="s">
        <v>421</v>
      </c>
      <c r="C488" s="298" t="s">
        <v>230</v>
      </c>
      <c r="D488" s="168">
        <f>845.5*1.05</f>
        <v>887.78</v>
      </c>
      <c r="E488" s="16">
        <f t="shared" si="36"/>
        <v>177.56</v>
      </c>
      <c r="F488" s="164">
        <f t="shared" si="37"/>
        <v>1065.3399999999999</v>
      </c>
      <c r="G488" s="143"/>
      <c r="H488" s="4"/>
      <c r="I488" s="72"/>
      <c r="J488" s="4"/>
      <c r="K488" s="42"/>
      <c r="L488" s="4"/>
      <c r="M488" s="4"/>
      <c r="N488" s="4"/>
      <c r="O488" s="4"/>
      <c r="Y488" s="153"/>
      <c r="AK488" s="19" t="s">
        <v>422</v>
      </c>
      <c r="BI488" s="154"/>
      <c r="BJ488" s="20"/>
    </row>
    <row r="489" spans="1:63" s="19" customFormat="1" ht="18" customHeight="1" x14ac:dyDescent="0.2">
      <c r="A489" s="270" t="s">
        <v>423</v>
      </c>
      <c r="B489" s="165" t="s">
        <v>424</v>
      </c>
      <c r="C489" s="298" t="s">
        <v>230</v>
      </c>
      <c r="D489" s="15">
        <f>1016.95*1.05</f>
        <v>1067.8</v>
      </c>
      <c r="E489" s="16">
        <f t="shared" si="36"/>
        <v>213.56</v>
      </c>
      <c r="F489" s="16">
        <f t="shared" si="37"/>
        <v>1281.3599999999999</v>
      </c>
      <c r="G489" s="143"/>
      <c r="H489" s="4"/>
      <c r="I489" s="72"/>
      <c r="J489" s="4"/>
      <c r="K489" s="42"/>
      <c r="L489" s="4"/>
      <c r="M489" s="4"/>
      <c r="N489" s="4"/>
      <c r="O489" s="4"/>
      <c r="Y489" s="153"/>
      <c r="BI489" s="154"/>
      <c r="BJ489" s="20"/>
    </row>
    <row r="490" spans="1:63" s="19" customFormat="1" ht="19.5" customHeight="1" x14ac:dyDescent="0.2">
      <c r="A490" s="270" t="s">
        <v>425</v>
      </c>
      <c r="B490" s="165" t="s">
        <v>426</v>
      </c>
      <c r="C490" s="298" t="s">
        <v>230</v>
      </c>
      <c r="D490" s="15">
        <f>8787.3*1.05</f>
        <v>9226.67</v>
      </c>
      <c r="E490" s="16">
        <f t="shared" si="36"/>
        <v>1845.33</v>
      </c>
      <c r="F490" s="16">
        <f t="shared" si="37"/>
        <v>11072</v>
      </c>
      <c r="G490" s="143"/>
      <c r="H490" s="4"/>
      <c r="I490" s="72"/>
      <c r="J490" s="4"/>
      <c r="K490" s="42"/>
      <c r="L490" s="4"/>
      <c r="M490" s="4"/>
      <c r="N490" s="4"/>
      <c r="O490" s="4"/>
      <c r="Y490" s="153"/>
      <c r="BI490" s="154"/>
      <c r="BJ490" s="20"/>
    </row>
    <row r="491" spans="1:63" s="19" customFormat="1" ht="35.25" customHeight="1" x14ac:dyDescent="0.2">
      <c r="A491" s="270" t="s">
        <v>427</v>
      </c>
      <c r="B491" s="165" t="s">
        <v>428</v>
      </c>
      <c r="C491" s="298" t="s">
        <v>230</v>
      </c>
      <c r="D491" s="15">
        <f>983.47*1.05</f>
        <v>1032.6400000000001</v>
      </c>
      <c r="E491" s="16">
        <f t="shared" si="36"/>
        <v>206.53</v>
      </c>
      <c r="F491" s="16">
        <f t="shared" si="37"/>
        <v>1239.17</v>
      </c>
      <c r="G491" s="143"/>
      <c r="H491" s="4"/>
      <c r="I491" s="72"/>
      <c r="J491" s="4"/>
      <c r="K491" s="42"/>
      <c r="L491" s="4"/>
      <c r="M491" s="4"/>
      <c r="N491" s="4"/>
      <c r="O491" s="4"/>
      <c r="Y491" s="153"/>
      <c r="BI491" s="154"/>
      <c r="BJ491" s="20"/>
    </row>
    <row r="492" spans="1:63" s="19" customFormat="1" ht="35.25" customHeight="1" x14ac:dyDescent="0.2">
      <c r="A492" s="270" t="s">
        <v>429</v>
      </c>
      <c r="B492" s="165" t="s">
        <v>430</v>
      </c>
      <c r="C492" s="298" t="s">
        <v>230</v>
      </c>
      <c r="D492" s="15">
        <f>1995.7*1.05</f>
        <v>2095.4899999999998</v>
      </c>
      <c r="E492" s="16">
        <f>D492*20%</f>
        <v>419.1</v>
      </c>
      <c r="F492" s="16">
        <f>D492+E492</f>
        <v>2514.59</v>
      </c>
      <c r="G492" s="143"/>
      <c r="H492" s="4"/>
      <c r="I492" s="72"/>
      <c r="J492" s="4"/>
      <c r="K492" s="42"/>
      <c r="L492" s="4"/>
      <c r="M492" s="4"/>
      <c r="N492" s="4"/>
      <c r="O492" s="4"/>
      <c r="Y492" s="153"/>
      <c r="BI492" s="154"/>
      <c r="BJ492" s="20"/>
      <c r="BK492" s="172" t="s">
        <v>431</v>
      </c>
    </row>
    <row r="493" spans="1:63" s="19" customFormat="1" ht="22.5" customHeight="1" x14ac:dyDescent="0.2">
      <c r="A493" s="270"/>
      <c r="B493" s="312" t="s">
        <v>432</v>
      </c>
      <c r="C493" s="312"/>
      <c r="D493" s="312"/>
      <c r="E493" s="312"/>
      <c r="F493" s="312"/>
      <c r="G493" s="143"/>
      <c r="H493" s="4"/>
      <c r="I493" s="72"/>
      <c r="J493" s="4"/>
      <c r="K493" s="42"/>
      <c r="L493" s="4"/>
      <c r="M493" s="4"/>
      <c r="N493" s="4"/>
      <c r="O493" s="4"/>
      <c r="Y493" s="153"/>
      <c r="BI493" s="154"/>
      <c r="BJ493" s="20"/>
    </row>
    <row r="494" spans="1:63" s="19" customFormat="1" ht="34.5" customHeight="1" x14ac:dyDescent="0.2">
      <c r="A494" s="270" t="s">
        <v>433</v>
      </c>
      <c r="B494" s="285" t="s">
        <v>434</v>
      </c>
      <c r="C494" s="298" t="s">
        <v>230</v>
      </c>
      <c r="D494" s="15">
        <f>2350.25</f>
        <v>2350.25</v>
      </c>
      <c r="E494" s="16">
        <f>D494*20%</f>
        <v>470.05</v>
      </c>
      <c r="F494" s="164">
        <f>D494+E494</f>
        <v>2820.3</v>
      </c>
      <c r="G494" s="143"/>
      <c r="H494" s="4"/>
      <c r="I494" s="72"/>
      <c r="J494" s="4"/>
      <c r="K494" s="42"/>
      <c r="L494" s="4"/>
      <c r="M494" s="4"/>
      <c r="N494" s="4"/>
      <c r="O494" s="4"/>
      <c r="Y494" s="153"/>
      <c r="BI494" s="154"/>
      <c r="BJ494" s="20"/>
    </row>
    <row r="495" spans="1:63" s="19" customFormat="1" ht="30.75" customHeight="1" x14ac:dyDescent="0.2">
      <c r="A495" s="270" t="s">
        <v>435</v>
      </c>
      <c r="B495" s="285" t="s">
        <v>436</v>
      </c>
      <c r="C495" s="298" t="s">
        <v>230</v>
      </c>
      <c r="D495" s="15">
        <f>2107.69*1.05</f>
        <v>2213.0700000000002</v>
      </c>
      <c r="E495" s="16">
        <f>D495*20%</f>
        <v>442.61</v>
      </c>
      <c r="F495" s="164">
        <f>D495+E495</f>
        <v>2655.68</v>
      </c>
      <c r="G495" s="143"/>
      <c r="H495" s="4"/>
      <c r="I495" s="72"/>
      <c r="J495" s="4"/>
      <c r="K495" s="42"/>
      <c r="L495" s="4"/>
      <c r="M495" s="4"/>
      <c r="N495" s="4"/>
      <c r="O495" s="4"/>
      <c r="Y495" s="153"/>
      <c r="BI495" s="154"/>
      <c r="BJ495" s="20"/>
    </row>
    <row r="496" spans="1:63" s="19" customFormat="1" ht="20.25" customHeight="1" x14ac:dyDescent="0.2">
      <c r="A496" s="270" t="s">
        <v>437</v>
      </c>
      <c r="B496" s="285" t="s">
        <v>438</v>
      </c>
      <c r="C496" s="298" t="s">
        <v>230</v>
      </c>
      <c r="D496" s="15">
        <f>2313.55*1.05</f>
        <v>2429.23</v>
      </c>
      <c r="E496" s="16">
        <f>D496*20%</f>
        <v>485.85</v>
      </c>
      <c r="F496" s="164">
        <f>D496+E496</f>
        <v>2915.08</v>
      </c>
      <c r="G496" s="143"/>
      <c r="H496" s="4"/>
      <c r="I496" s="72"/>
      <c r="J496" s="4"/>
      <c r="K496" s="42"/>
      <c r="L496" s="4"/>
      <c r="M496" s="4"/>
      <c r="N496" s="4"/>
      <c r="O496" s="4"/>
      <c r="Y496" s="153"/>
      <c r="BI496" s="154"/>
      <c r="BJ496" s="20"/>
    </row>
    <row r="497" spans="1:62" s="19" customFormat="1" ht="30.75" customHeight="1" x14ac:dyDescent="0.2">
      <c r="A497" s="270" t="s">
        <v>439</v>
      </c>
      <c r="B497" s="173" t="s">
        <v>440</v>
      </c>
      <c r="C497" s="298" t="s">
        <v>230</v>
      </c>
      <c r="D497" s="15">
        <f>2313.55*1.05</f>
        <v>2429.23</v>
      </c>
      <c r="E497" s="16">
        <f t="shared" ref="E497:E511" si="46">D497*20%</f>
        <v>485.85</v>
      </c>
      <c r="F497" s="164">
        <f t="shared" ref="F497:F511" si="47">D497+E497</f>
        <v>2915.08</v>
      </c>
      <c r="G497" s="143"/>
      <c r="H497" s="4"/>
      <c r="I497" s="72"/>
      <c r="J497" s="4"/>
      <c r="K497" s="42"/>
      <c r="L497" s="4"/>
      <c r="M497" s="4"/>
      <c r="N497" s="4"/>
      <c r="O497" s="4"/>
      <c r="Y497" s="153"/>
      <c r="BI497" s="154"/>
      <c r="BJ497" s="20"/>
    </row>
    <row r="498" spans="1:62" s="19" customFormat="1" ht="34.5" customHeight="1" x14ac:dyDescent="0.2">
      <c r="A498" s="270" t="s">
        <v>441</v>
      </c>
      <c r="B498" s="173" t="s">
        <v>442</v>
      </c>
      <c r="C498" s="298" t="s">
        <v>230</v>
      </c>
      <c r="D498" s="15">
        <f>2250.88*1.05</f>
        <v>2363.42</v>
      </c>
      <c r="E498" s="16">
        <f t="shared" si="46"/>
        <v>472.68</v>
      </c>
      <c r="F498" s="164">
        <f t="shared" si="47"/>
        <v>2836.1</v>
      </c>
      <c r="G498" s="143"/>
      <c r="H498" s="4"/>
      <c r="I498" s="72"/>
      <c r="J498" s="4"/>
      <c r="K498" s="42"/>
      <c r="L498" s="4"/>
      <c r="M498" s="4"/>
      <c r="N498" s="4"/>
      <c r="O498" s="4"/>
      <c r="Y498" s="153"/>
      <c r="BI498" s="154"/>
      <c r="BJ498" s="20"/>
    </row>
    <row r="499" spans="1:62" s="19" customFormat="1" ht="32.25" customHeight="1" x14ac:dyDescent="0.2">
      <c r="A499" s="270" t="s">
        <v>443</v>
      </c>
      <c r="B499" s="173" t="s">
        <v>444</v>
      </c>
      <c r="C499" s="298" t="s">
        <v>230</v>
      </c>
      <c r="D499" s="15">
        <f>2313.55*1.05</f>
        <v>2429.23</v>
      </c>
      <c r="E499" s="16">
        <f t="shared" si="46"/>
        <v>485.85</v>
      </c>
      <c r="F499" s="164">
        <f t="shared" si="47"/>
        <v>2915.08</v>
      </c>
      <c r="G499" s="143"/>
      <c r="H499" s="4"/>
      <c r="I499" s="72"/>
      <c r="J499" s="4"/>
      <c r="K499" s="42"/>
      <c r="L499" s="4"/>
      <c r="M499" s="4"/>
      <c r="N499" s="4"/>
      <c r="O499" s="4"/>
      <c r="Y499" s="153"/>
      <c r="BI499" s="154"/>
      <c r="BJ499" s="20"/>
    </row>
    <row r="500" spans="1:62" s="19" customFormat="1" ht="36.75" customHeight="1" x14ac:dyDescent="0.2">
      <c r="A500" s="270" t="s">
        <v>445</v>
      </c>
      <c r="B500" s="173" t="s">
        <v>446</v>
      </c>
      <c r="C500" s="298" t="s">
        <v>230</v>
      </c>
      <c r="D500" s="15">
        <f t="shared" ref="D500:D504" si="48">2313.55*1.05</f>
        <v>2429.23</v>
      </c>
      <c r="E500" s="16">
        <f t="shared" si="46"/>
        <v>485.85</v>
      </c>
      <c r="F500" s="164">
        <f t="shared" si="47"/>
        <v>2915.08</v>
      </c>
      <c r="G500" s="143"/>
      <c r="H500" s="4"/>
      <c r="I500" s="72"/>
      <c r="J500" s="4"/>
      <c r="K500" s="42"/>
      <c r="L500" s="4"/>
      <c r="M500" s="4"/>
      <c r="N500" s="4"/>
      <c r="O500" s="4"/>
      <c r="Y500" s="153"/>
      <c r="BI500" s="154"/>
      <c r="BJ500" s="20"/>
    </row>
    <row r="501" spans="1:62" s="19" customFormat="1" ht="33" customHeight="1" x14ac:dyDescent="0.2">
      <c r="A501" s="270" t="s">
        <v>447</v>
      </c>
      <c r="B501" s="173" t="s">
        <v>448</v>
      </c>
      <c r="C501" s="298" t="s">
        <v>230</v>
      </c>
      <c r="D501" s="15">
        <f t="shared" si="48"/>
        <v>2429.23</v>
      </c>
      <c r="E501" s="16">
        <f t="shared" si="46"/>
        <v>485.85</v>
      </c>
      <c r="F501" s="164">
        <f t="shared" si="47"/>
        <v>2915.08</v>
      </c>
      <c r="G501" s="143"/>
      <c r="H501" s="4"/>
      <c r="I501" s="72"/>
      <c r="J501" s="4"/>
      <c r="K501" s="42"/>
      <c r="L501" s="4"/>
      <c r="M501" s="4"/>
      <c r="N501" s="4"/>
      <c r="O501" s="4"/>
      <c r="Y501" s="153"/>
      <c r="BI501" s="154"/>
      <c r="BJ501" s="20"/>
    </row>
    <row r="502" spans="1:62" s="19" customFormat="1" ht="33" customHeight="1" x14ac:dyDescent="0.2">
      <c r="A502" s="270" t="s">
        <v>449</v>
      </c>
      <c r="B502" s="173" t="s">
        <v>450</v>
      </c>
      <c r="C502" s="298" t="s">
        <v>230</v>
      </c>
      <c r="D502" s="15">
        <f t="shared" si="48"/>
        <v>2429.23</v>
      </c>
      <c r="E502" s="16">
        <f t="shared" si="46"/>
        <v>485.85</v>
      </c>
      <c r="F502" s="164">
        <f t="shared" si="47"/>
        <v>2915.08</v>
      </c>
      <c r="G502" s="143"/>
      <c r="H502" s="4"/>
      <c r="I502" s="72"/>
      <c r="J502" s="4"/>
      <c r="K502" s="42"/>
      <c r="L502" s="4"/>
      <c r="M502" s="4"/>
      <c r="N502" s="4"/>
      <c r="O502" s="4"/>
      <c r="Y502" s="153"/>
      <c r="BI502" s="154"/>
      <c r="BJ502" s="20"/>
    </row>
    <row r="503" spans="1:62" s="19" customFormat="1" ht="31.5" customHeight="1" x14ac:dyDescent="0.2">
      <c r="A503" s="270" t="s">
        <v>451</v>
      </c>
      <c r="B503" s="173" t="s">
        <v>452</v>
      </c>
      <c r="C503" s="298" t="s">
        <v>230</v>
      </c>
      <c r="D503" s="15">
        <f t="shared" si="48"/>
        <v>2429.23</v>
      </c>
      <c r="E503" s="16">
        <f t="shared" si="46"/>
        <v>485.85</v>
      </c>
      <c r="F503" s="164">
        <f t="shared" si="47"/>
        <v>2915.08</v>
      </c>
      <c r="G503" s="143"/>
      <c r="H503" s="4"/>
      <c r="I503" s="72"/>
      <c r="J503" s="4"/>
      <c r="K503" s="42"/>
      <c r="L503" s="4"/>
      <c r="M503" s="4"/>
      <c r="N503" s="4"/>
      <c r="O503" s="4"/>
      <c r="Y503" s="153"/>
      <c r="BI503" s="154"/>
      <c r="BJ503" s="20"/>
    </row>
    <row r="504" spans="1:62" s="19" customFormat="1" ht="30.75" customHeight="1" x14ac:dyDescent="0.2">
      <c r="A504" s="270" t="s">
        <v>453</v>
      </c>
      <c r="B504" s="173" t="s">
        <v>454</v>
      </c>
      <c r="C504" s="298" t="s">
        <v>230</v>
      </c>
      <c r="D504" s="15">
        <f t="shared" si="48"/>
        <v>2429.23</v>
      </c>
      <c r="E504" s="16">
        <f t="shared" si="46"/>
        <v>485.85</v>
      </c>
      <c r="F504" s="164">
        <f t="shared" si="47"/>
        <v>2915.08</v>
      </c>
      <c r="G504" s="143"/>
      <c r="H504" s="4"/>
      <c r="I504" s="72"/>
      <c r="J504" s="4"/>
      <c r="K504" s="42"/>
      <c r="L504" s="4"/>
      <c r="M504" s="4"/>
      <c r="N504" s="4"/>
      <c r="O504" s="4"/>
      <c r="Y504" s="153"/>
      <c r="BI504" s="154"/>
      <c r="BJ504" s="20"/>
    </row>
    <row r="505" spans="1:62" s="19" customFormat="1" ht="33.75" customHeight="1" x14ac:dyDescent="0.2">
      <c r="A505" s="270" t="s">
        <v>455</v>
      </c>
      <c r="B505" s="174" t="s">
        <v>456</v>
      </c>
      <c r="C505" s="298" t="s">
        <v>230</v>
      </c>
      <c r="D505" s="15">
        <f>2196.91*1.05</f>
        <v>2306.7600000000002</v>
      </c>
      <c r="E505" s="16">
        <f t="shared" si="46"/>
        <v>461.35</v>
      </c>
      <c r="F505" s="164">
        <f t="shared" si="47"/>
        <v>2768.11</v>
      </c>
      <c r="G505" s="143"/>
      <c r="H505" s="4"/>
      <c r="I505" s="72"/>
      <c r="J505" s="4"/>
      <c r="K505" s="42"/>
      <c r="L505" s="4"/>
      <c r="M505" s="4"/>
      <c r="N505" s="4"/>
      <c r="O505" s="4"/>
      <c r="Y505" s="153"/>
      <c r="BI505" s="154"/>
      <c r="BJ505" s="20"/>
    </row>
    <row r="506" spans="1:62" s="19" customFormat="1" ht="33.75" customHeight="1" x14ac:dyDescent="0.2">
      <c r="A506" s="270" t="s">
        <v>457</v>
      </c>
      <c r="B506" s="173" t="s">
        <v>458</v>
      </c>
      <c r="C506" s="298" t="s">
        <v>230</v>
      </c>
      <c r="D506" s="15">
        <f>2196.91*1.05</f>
        <v>2306.7600000000002</v>
      </c>
      <c r="E506" s="16">
        <f t="shared" si="46"/>
        <v>461.35</v>
      </c>
      <c r="F506" s="164">
        <f t="shared" si="47"/>
        <v>2768.11</v>
      </c>
      <c r="G506" s="143"/>
      <c r="H506" s="4"/>
      <c r="I506" s="72"/>
      <c r="J506" s="4"/>
      <c r="K506" s="42"/>
      <c r="L506" s="4"/>
      <c r="M506" s="4"/>
      <c r="N506" s="4"/>
      <c r="O506" s="4"/>
      <c r="Y506" s="153"/>
      <c r="BI506" s="154"/>
      <c r="BJ506" s="20"/>
    </row>
    <row r="507" spans="1:62" s="19" customFormat="1" ht="33.75" customHeight="1" x14ac:dyDescent="0.2">
      <c r="A507" s="270" t="s">
        <v>459</v>
      </c>
      <c r="B507" s="173" t="s">
        <v>460</v>
      </c>
      <c r="C507" s="298" t="s">
        <v>230</v>
      </c>
      <c r="D507" s="15">
        <f>2196.91*1.05</f>
        <v>2306.7600000000002</v>
      </c>
      <c r="E507" s="16">
        <f t="shared" si="46"/>
        <v>461.35</v>
      </c>
      <c r="F507" s="164">
        <f t="shared" si="47"/>
        <v>2768.11</v>
      </c>
      <c r="G507" s="143"/>
      <c r="H507" s="4"/>
      <c r="I507" s="72"/>
      <c r="J507" s="4"/>
      <c r="K507" s="42"/>
      <c r="L507" s="4"/>
      <c r="M507" s="4"/>
      <c r="N507" s="4"/>
      <c r="O507" s="4"/>
      <c r="Y507" s="153"/>
      <c r="BI507" s="154"/>
      <c r="BJ507" s="20"/>
    </row>
    <row r="508" spans="1:62" s="19" customFormat="1" ht="48" customHeight="1" x14ac:dyDescent="0.2">
      <c r="A508" s="270" t="s">
        <v>461</v>
      </c>
      <c r="B508" s="173" t="s">
        <v>462</v>
      </c>
      <c r="C508" s="298" t="s">
        <v>230</v>
      </c>
      <c r="D508" s="15">
        <f>2015.48*1.05</f>
        <v>2116.25</v>
      </c>
      <c r="E508" s="16">
        <f t="shared" si="46"/>
        <v>423.25</v>
      </c>
      <c r="F508" s="164">
        <f t="shared" si="47"/>
        <v>2539.5</v>
      </c>
      <c r="G508" s="143"/>
      <c r="H508" s="4"/>
      <c r="I508" s="72"/>
      <c r="J508" s="4"/>
      <c r="K508" s="42"/>
      <c r="L508" s="4"/>
      <c r="M508" s="4"/>
      <c r="N508" s="4"/>
      <c r="O508" s="4"/>
      <c r="Y508" s="153"/>
      <c r="BI508" s="154"/>
      <c r="BJ508" s="20"/>
    </row>
    <row r="509" spans="1:62" s="19" customFormat="1" ht="46.5" customHeight="1" x14ac:dyDescent="0.2">
      <c r="A509" s="270" t="s">
        <v>463</v>
      </c>
      <c r="B509" s="173" t="s">
        <v>464</v>
      </c>
      <c r="C509" s="298" t="s">
        <v>230</v>
      </c>
      <c r="D509" s="15">
        <f>2130.4*1.05</f>
        <v>2236.92</v>
      </c>
      <c r="E509" s="16">
        <f t="shared" si="46"/>
        <v>447.38</v>
      </c>
      <c r="F509" s="164">
        <f t="shared" si="47"/>
        <v>2684.3</v>
      </c>
      <c r="G509" s="143"/>
      <c r="H509" s="4"/>
      <c r="I509" s="72"/>
      <c r="J509" s="4"/>
      <c r="K509" s="42"/>
      <c r="L509" s="4"/>
      <c r="M509" s="4"/>
      <c r="N509" s="4"/>
      <c r="O509" s="4"/>
      <c r="Y509" s="153"/>
      <c r="BI509" s="154"/>
      <c r="BJ509" s="20"/>
    </row>
    <row r="510" spans="1:62" s="19" customFormat="1" ht="46.5" customHeight="1" x14ac:dyDescent="0.2">
      <c r="A510" s="270" t="s">
        <v>465</v>
      </c>
      <c r="B510" s="173" t="s">
        <v>466</v>
      </c>
      <c r="C510" s="298" t="s">
        <v>230</v>
      </c>
      <c r="D510" s="15">
        <f>2140.17*1.05</f>
        <v>2247.1799999999998</v>
      </c>
      <c r="E510" s="16">
        <f t="shared" si="46"/>
        <v>449.44</v>
      </c>
      <c r="F510" s="164">
        <f t="shared" si="47"/>
        <v>2696.62</v>
      </c>
      <c r="G510" s="143"/>
      <c r="H510" s="4"/>
      <c r="I510" s="72"/>
      <c r="J510" s="4"/>
      <c r="K510" s="42"/>
      <c r="L510" s="4"/>
      <c r="M510" s="4"/>
      <c r="N510" s="4"/>
      <c r="O510" s="4"/>
      <c r="Y510" s="153"/>
      <c r="AK510" s="19" t="s">
        <v>467</v>
      </c>
      <c r="BI510" s="154"/>
      <c r="BJ510" s="20"/>
    </row>
    <row r="511" spans="1:62" s="19" customFormat="1" ht="46.5" customHeight="1" x14ac:dyDescent="0.2">
      <c r="A511" s="270" t="s">
        <v>468</v>
      </c>
      <c r="B511" s="173" t="s">
        <v>469</v>
      </c>
      <c r="C511" s="298" t="s">
        <v>230</v>
      </c>
      <c r="D511" s="15">
        <f>2015.6*1.05</f>
        <v>2116.38</v>
      </c>
      <c r="E511" s="16">
        <f t="shared" si="46"/>
        <v>423.28</v>
      </c>
      <c r="F511" s="164">
        <f t="shared" si="47"/>
        <v>2539.66</v>
      </c>
      <c r="G511" s="143"/>
      <c r="H511" s="4"/>
      <c r="I511" s="72"/>
      <c r="J511" s="4"/>
      <c r="K511" s="42"/>
      <c r="L511" s="4"/>
      <c r="M511" s="4"/>
      <c r="N511" s="4"/>
      <c r="O511" s="4"/>
      <c r="Y511" s="153"/>
      <c r="BI511" s="154"/>
      <c r="BJ511" s="20"/>
    </row>
    <row r="512" spans="1:62" s="19" customFormat="1" ht="21" customHeight="1" x14ac:dyDescent="0.2">
      <c r="A512" s="292"/>
      <c r="B512" s="326" t="s">
        <v>470</v>
      </c>
      <c r="C512" s="326"/>
      <c r="D512" s="326"/>
      <c r="E512" s="326"/>
      <c r="F512" s="326"/>
      <c r="G512" s="143"/>
      <c r="H512" s="4"/>
      <c r="I512" s="72"/>
      <c r="J512" s="4"/>
      <c r="K512" s="42"/>
      <c r="L512" s="4"/>
      <c r="M512" s="4"/>
      <c r="N512" s="4"/>
      <c r="O512" s="4"/>
      <c r="Y512" s="153"/>
      <c r="BI512" s="154"/>
      <c r="BJ512" s="20"/>
    </row>
    <row r="513" spans="1:62" s="19" customFormat="1" ht="46.5" customHeight="1" x14ac:dyDescent="0.2">
      <c r="A513" s="270" t="s">
        <v>471</v>
      </c>
      <c r="B513" s="165" t="s">
        <v>472</v>
      </c>
      <c r="C513" s="298" t="s">
        <v>230</v>
      </c>
      <c r="D513" s="15">
        <f>211.21*1.05</f>
        <v>221.77</v>
      </c>
      <c r="E513" s="16">
        <f t="shared" ref="E513:E536" si="49">D513*20%</f>
        <v>44.35</v>
      </c>
      <c r="F513" s="164">
        <f t="shared" ref="F513:F534" si="50">D513+E513</f>
        <v>266.12</v>
      </c>
      <c r="G513" s="143"/>
      <c r="H513" s="4"/>
      <c r="I513" s="72"/>
      <c r="J513" s="4"/>
      <c r="K513" s="42"/>
      <c r="L513" s="4"/>
      <c r="M513" s="4"/>
      <c r="N513" s="4"/>
      <c r="O513" s="4"/>
      <c r="Y513" s="153"/>
      <c r="BI513" s="154"/>
      <c r="BJ513" s="20"/>
    </row>
    <row r="514" spans="1:62" s="19" customFormat="1" ht="46.5" customHeight="1" x14ac:dyDescent="0.2">
      <c r="A514" s="270" t="s">
        <v>473</v>
      </c>
      <c r="B514" s="165" t="s">
        <v>474</v>
      </c>
      <c r="C514" s="298" t="s">
        <v>230</v>
      </c>
      <c r="D514" s="145">
        <f>297.2*1.05</f>
        <v>312.06</v>
      </c>
      <c r="E514" s="16">
        <f t="shared" si="49"/>
        <v>62.41</v>
      </c>
      <c r="F514" s="164">
        <f t="shared" si="50"/>
        <v>374.47</v>
      </c>
      <c r="G514" s="143"/>
      <c r="H514" s="4"/>
      <c r="I514" s="72"/>
      <c r="J514" s="4"/>
      <c r="K514" s="42"/>
      <c r="L514" s="4"/>
      <c r="M514" s="4"/>
      <c r="N514" s="4"/>
      <c r="O514" s="4"/>
      <c r="Y514" s="153"/>
      <c r="BI514" s="154"/>
      <c r="BJ514" s="20"/>
    </row>
    <row r="515" spans="1:62" s="19" customFormat="1" ht="23.25" customHeight="1" x14ac:dyDescent="0.2">
      <c r="A515" s="270" t="s">
        <v>475</v>
      </c>
      <c r="B515" s="285" t="s">
        <v>476</v>
      </c>
      <c r="C515" s="298" t="s">
        <v>230</v>
      </c>
      <c r="D515" s="145">
        <f>274.46*1.05</f>
        <v>288.18</v>
      </c>
      <c r="E515" s="16">
        <f t="shared" si="49"/>
        <v>57.64</v>
      </c>
      <c r="F515" s="164">
        <f t="shared" si="50"/>
        <v>345.82</v>
      </c>
      <c r="G515" s="143"/>
      <c r="H515" s="4"/>
      <c r="I515" s="72"/>
      <c r="J515" s="4"/>
      <c r="K515" s="42"/>
      <c r="L515" s="4"/>
      <c r="M515" s="4"/>
      <c r="N515" s="4"/>
      <c r="O515" s="4"/>
      <c r="Y515" s="153"/>
      <c r="BI515" s="154"/>
      <c r="BJ515" s="20"/>
    </row>
    <row r="516" spans="1:62" s="19" customFormat="1" ht="33" customHeight="1" x14ac:dyDescent="0.2">
      <c r="A516" s="270" t="s">
        <v>477</v>
      </c>
      <c r="B516" s="165" t="s">
        <v>478</v>
      </c>
      <c r="C516" s="298" t="s">
        <v>230</v>
      </c>
      <c r="D516" s="15">
        <f>130.38*1.05</f>
        <v>136.9</v>
      </c>
      <c r="E516" s="16">
        <f t="shared" si="49"/>
        <v>27.38</v>
      </c>
      <c r="F516" s="164">
        <f t="shared" si="50"/>
        <v>164.28</v>
      </c>
      <c r="G516" s="143"/>
      <c r="H516" s="4"/>
      <c r="I516" s="72"/>
      <c r="J516" s="4"/>
      <c r="K516" s="42"/>
      <c r="L516" s="4"/>
      <c r="M516" s="4"/>
      <c r="N516" s="4"/>
      <c r="O516" s="4"/>
      <c r="Y516" s="153"/>
      <c r="BI516" s="154"/>
      <c r="BJ516" s="20"/>
    </row>
    <row r="517" spans="1:62" s="19" customFormat="1" ht="32.25" customHeight="1" x14ac:dyDescent="0.2">
      <c r="A517" s="270" t="s">
        <v>479</v>
      </c>
      <c r="B517" s="165" t="s">
        <v>480</v>
      </c>
      <c r="C517" s="298" t="s">
        <v>230</v>
      </c>
      <c r="D517" s="15">
        <f>135.6*1.05</f>
        <v>142.38</v>
      </c>
      <c r="E517" s="16">
        <f t="shared" si="49"/>
        <v>28.48</v>
      </c>
      <c r="F517" s="164">
        <f>D517+E517</f>
        <v>170.86</v>
      </c>
      <c r="G517" s="143"/>
      <c r="H517" s="4"/>
      <c r="I517" s="72"/>
      <c r="J517" s="4"/>
      <c r="K517" s="42"/>
      <c r="L517" s="4"/>
      <c r="M517" s="4"/>
      <c r="N517" s="4"/>
      <c r="O517" s="4"/>
      <c r="Y517" s="153"/>
      <c r="BI517" s="154"/>
      <c r="BJ517" s="20"/>
    </row>
    <row r="518" spans="1:62" s="19" customFormat="1" ht="29.25" customHeight="1" x14ac:dyDescent="0.2">
      <c r="A518" s="270" t="s">
        <v>481</v>
      </c>
      <c r="B518" s="285" t="s">
        <v>482</v>
      </c>
      <c r="C518" s="298" t="s">
        <v>230</v>
      </c>
      <c r="D518" s="15">
        <f>138.56*1.05</f>
        <v>145.49</v>
      </c>
      <c r="E518" s="16">
        <f t="shared" si="49"/>
        <v>29.1</v>
      </c>
      <c r="F518" s="164">
        <f t="shared" si="50"/>
        <v>174.59</v>
      </c>
      <c r="G518" s="143"/>
      <c r="H518" s="4"/>
      <c r="I518" s="72"/>
      <c r="J518" s="4"/>
      <c r="K518" s="42"/>
      <c r="L518" s="4"/>
      <c r="M518" s="4"/>
      <c r="N518" s="4"/>
      <c r="O518" s="4"/>
      <c r="Y518" s="153"/>
      <c r="BI518" s="154"/>
      <c r="BJ518" s="20"/>
    </row>
    <row r="519" spans="1:62" s="19" customFormat="1" ht="31.5" customHeight="1" x14ac:dyDescent="0.2">
      <c r="A519" s="270" t="s">
        <v>483</v>
      </c>
      <c r="B519" s="285" t="s">
        <v>484</v>
      </c>
      <c r="C519" s="298" t="s">
        <v>230</v>
      </c>
      <c r="D519" s="15">
        <f>130.38*1.05</f>
        <v>136.9</v>
      </c>
      <c r="E519" s="16">
        <f t="shared" si="49"/>
        <v>27.38</v>
      </c>
      <c r="F519" s="164">
        <f t="shared" si="50"/>
        <v>164.28</v>
      </c>
      <c r="G519" s="143"/>
      <c r="H519" s="4"/>
      <c r="I519" s="72"/>
      <c r="J519" s="4"/>
      <c r="K519" s="42"/>
      <c r="L519" s="4"/>
      <c r="M519" s="4"/>
      <c r="N519" s="4"/>
      <c r="O519" s="4"/>
      <c r="Y519" s="153"/>
      <c r="BI519" s="154"/>
      <c r="BJ519" s="20"/>
    </row>
    <row r="520" spans="1:62" s="19" customFormat="1" ht="32.25" customHeight="1" x14ac:dyDescent="0.2">
      <c r="A520" s="270" t="s">
        <v>485</v>
      </c>
      <c r="B520" s="285" t="s">
        <v>486</v>
      </c>
      <c r="C520" s="298" t="s">
        <v>230</v>
      </c>
      <c r="D520" s="15">
        <f>138.56*1.05</f>
        <v>145.49</v>
      </c>
      <c r="E520" s="16">
        <f t="shared" si="49"/>
        <v>29.1</v>
      </c>
      <c r="F520" s="164">
        <f t="shared" si="50"/>
        <v>174.59</v>
      </c>
      <c r="G520" s="143"/>
      <c r="H520" s="4"/>
      <c r="I520" s="72"/>
      <c r="J520" s="4"/>
      <c r="K520" s="42"/>
      <c r="L520" s="4"/>
      <c r="M520" s="4"/>
      <c r="N520" s="4"/>
      <c r="O520" s="4"/>
      <c r="Y520" s="153"/>
      <c r="BI520" s="154"/>
      <c r="BJ520" s="20"/>
    </row>
    <row r="521" spans="1:62" s="19" customFormat="1" ht="24.75" customHeight="1" x14ac:dyDescent="0.2">
      <c r="A521" s="270" t="s">
        <v>487</v>
      </c>
      <c r="B521" s="279" t="s">
        <v>488</v>
      </c>
      <c r="C521" s="298" t="s">
        <v>230</v>
      </c>
      <c r="D521" s="15">
        <f>185.47*1.05</f>
        <v>194.74</v>
      </c>
      <c r="E521" s="16">
        <f t="shared" si="49"/>
        <v>38.950000000000003</v>
      </c>
      <c r="F521" s="164">
        <f t="shared" si="50"/>
        <v>233.69</v>
      </c>
      <c r="G521" s="143"/>
      <c r="H521" s="4"/>
      <c r="I521" s="72"/>
      <c r="J521" s="4"/>
      <c r="K521" s="42"/>
      <c r="L521" s="4"/>
      <c r="M521" s="4"/>
      <c r="N521" s="4"/>
      <c r="O521" s="4"/>
      <c r="Y521" s="153"/>
      <c r="BI521" s="154"/>
      <c r="BJ521" s="20"/>
    </row>
    <row r="522" spans="1:62" s="19" customFormat="1" ht="20.25" customHeight="1" x14ac:dyDescent="0.2">
      <c r="A522" s="270" t="s">
        <v>489</v>
      </c>
      <c r="B522" s="279" t="s">
        <v>490</v>
      </c>
      <c r="C522" s="298" t="s">
        <v>230</v>
      </c>
      <c r="D522" s="15">
        <f>135.17*1.05</f>
        <v>141.93</v>
      </c>
      <c r="E522" s="16">
        <f t="shared" si="49"/>
        <v>28.39</v>
      </c>
      <c r="F522" s="164">
        <f t="shared" si="50"/>
        <v>170.32</v>
      </c>
      <c r="G522" s="143"/>
      <c r="H522" s="4"/>
      <c r="I522" s="72"/>
      <c r="J522" s="4"/>
      <c r="K522" s="42"/>
      <c r="L522" s="4"/>
      <c r="M522" s="4"/>
      <c r="N522" s="4"/>
      <c r="O522" s="4"/>
      <c r="Y522" s="153"/>
      <c r="BI522" s="154"/>
      <c r="BJ522" s="20"/>
    </row>
    <row r="523" spans="1:62" s="19" customFormat="1" ht="31.5" customHeight="1" x14ac:dyDescent="0.2">
      <c r="A523" s="270" t="s">
        <v>491</v>
      </c>
      <c r="B523" s="300" t="s">
        <v>492</v>
      </c>
      <c r="C523" s="298" t="s">
        <v>230</v>
      </c>
      <c r="D523" s="15">
        <f>211.78*1.05</f>
        <v>222.37</v>
      </c>
      <c r="E523" s="16">
        <f t="shared" si="49"/>
        <v>44.47</v>
      </c>
      <c r="F523" s="164">
        <f t="shared" si="50"/>
        <v>266.83999999999997</v>
      </c>
      <c r="G523" s="143"/>
      <c r="H523" s="4"/>
      <c r="I523" s="72"/>
      <c r="J523" s="4"/>
      <c r="K523" s="42"/>
      <c r="L523" s="4"/>
      <c r="M523" s="4"/>
      <c r="N523" s="4"/>
      <c r="O523" s="4"/>
      <c r="Y523" s="153"/>
      <c r="BI523" s="154"/>
      <c r="BJ523" s="20"/>
    </row>
    <row r="524" spans="1:62" s="19" customFormat="1" ht="36" customHeight="1" x14ac:dyDescent="0.2">
      <c r="A524" s="270" t="s">
        <v>493</v>
      </c>
      <c r="B524" s="300" t="s">
        <v>494</v>
      </c>
      <c r="C524" s="298" t="s">
        <v>230</v>
      </c>
      <c r="D524" s="145">
        <f>403.3*1.05</f>
        <v>423.47</v>
      </c>
      <c r="E524" s="16">
        <f t="shared" si="49"/>
        <v>84.69</v>
      </c>
      <c r="F524" s="164">
        <f t="shared" si="50"/>
        <v>508.16</v>
      </c>
      <c r="G524" s="143"/>
      <c r="H524" s="4"/>
      <c r="I524" s="72"/>
      <c r="J524" s="4"/>
      <c r="K524" s="42"/>
      <c r="L524" s="4"/>
      <c r="M524" s="4"/>
      <c r="N524" s="4"/>
      <c r="O524" s="4"/>
      <c r="Y524" s="153"/>
      <c r="BI524" s="154"/>
      <c r="BJ524" s="20"/>
    </row>
    <row r="525" spans="1:62" s="19" customFormat="1" ht="31.5" customHeight="1" x14ac:dyDescent="0.2">
      <c r="A525" s="270" t="s">
        <v>495</v>
      </c>
      <c r="B525" s="285" t="s">
        <v>496</v>
      </c>
      <c r="C525" s="298" t="s">
        <v>230</v>
      </c>
      <c r="D525" s="15">
        <f>253.1*1.05</f>
        <v>265.76</v>
      </c>
      <c r="E525" s="16">
        <f t="shared" si="49"/>
        <v>53.15</v>
      </c>
      <c r="F525" s="164">
        <f t="shared" si="50"/>
        <v>318.91000000000003</v>
      </c>
      <c r="G525" s="143"/>
      <c r="H525" s="4"/>
      <c r="I525" s="72"/>
      <c r="J525" s="4"/>
      <c r="K525" s="42"/>
      <c r="L525" s="4"/>
      <c r="M525" s="4"/>
      <c r="N525" s="4"/>
      <c r="O525" s="4"/>
      <c r="Y525" s="153"/>
      <c r="BI525" s="154"/>
      <c r="BJ525" s="20"/>
    </row>
    <row r="526" spans="1:62" s="19" customFormat="1" ht="33" customHeight="1" x14ac:dyDescent="0.2">
      <c r="A526" s="270" t="s">
        <v>497</v>
      </c>
      <c r="B526" s="285" t="s">
        <v>498</v>
      </c>
      <c r="C526" s="298" t="s">
        <v>230</v>
      </c>
      <c r="D526" s="15">
        <f>437.51*1.05</f>
        <v>459.39</v>
      </c>
      <c r="E526" s="16">
        <f t="shared" si="49"/>
        <v>91.88</v>
      </c>
      <c r="F526" s="164">
        <f t="shared" si="50"/>
        <v>551.27</v>
      </c>
      <c r="G526" s="143"/>
      <c r="H526" s="4"/>
      <c r="I526" s="72"/>
      <c r="J526" s="4"/>
      <c r="K526" s="42"/>
      <c r="L526" s="4"/>
      <c r="M526" s="4"/>
      <c r="N526" s="4"/>
      <c r="O526" s="4"/>
      <c r="Y526" s="153"/>
      <c r="BI526" s="154"/>
      <c r="BJ526" s="20"/>
    </row>
    <row r="527" spans="1:62" s="19" customFormat="1" ht="29.25" customHeight="1" x14ac:dyDescent="0.2">
      <c r="A527" s="270" t="s">
        <v>499</v>
      </c>
      <c r="B527" s="165" t="s">
        <v>500</v>
      </c>
      <c r="C527" s="298" t="s">
        <v>230</v>
      </c>
      <c r="D527" s="15">
        <f>130.38*1.05</f>
        <v>136.9</v>
      </c>
      <c r="E527" s="16">
        <f t="shared" si="49"/>
        <v>27.38</v>
      </c>
      <c r="F527" s="164">
        <f t="shared" si="50"/>
        <v>164.28</v>
      </c>
      <c r="G527" s="143"/>
      <c r="H527" s="4"/>
      <c r="I527" s="72"/>
      <c r="J527" s="4"/>
      <c r="K527" s="42"/>
      <c r="L527" s="4"/>
      <c r="M527" s="4"/>
      <c r="N527" s="4"/>
      <c r="O527" s="4"/>
      <c r="Y527" s="153"/>
      <c r="BI527" s="154"/>
      <c r="BJ527" s="20"/>
    </row>
    <row r="528" spans="1:62" s="19" customFormat="1" ht="36.75" customHeight="1" x14ac:dyDescent="0.2">
      <c r="A528" s="270" t="s">
        <v>501</v>
      </c>
      <c r="B528" s="165" t="s">
        <v>502</v>
      </c>
      <c r="C528" s="298" t="s">
        <v>230</v>
      </c>
      <c r="D528" s="15">
        <f>91.84*1.05</f>
        <v>96.43</v>
      </c>
      <c r="E528" s="16">
        <f t="shared" si="49"/>
        <v>19.29</v>
      </c>
      <c r="F528" s="164">
        <f t="shared" si="50"/>
        <v>115.72</v>
      </c>
      <c r="G528" s="143"/>
      <c r="H528" s="4"/>
      <c r="I528" s="72"/>
      <c r="J528" s="4"/>
      <c r="K528" s="42"/>
      <c r="L528" s="4"/>
      <c r="M528" s="4"/>
      <c r="N528" s="4"/>
      <c r="O528" s="4"/>
      <c r="Y528" s="153"/>
      <c r="BI528" s="154"/>
      <c r="BJ528" s="20"/>
    </row>
    <row r="529" spans="1:63" s="19" customFormat="1" ht="46.5" customHeight="1" x14ac:dyDescent="0.2">
      <c r="A529" s="270" t="s">
        <v>503</v>
      </c>
      <c r="B529" s="165" t="s">
        <v>504</v>
      </c>
      <c r="C529" s="298" t="s">
        <v>230</v>
      </c>
      <c r="D529" s="15">
        <f>194.34*1.05</f>
        <v>204.06</v>
      </c>
      <c r="E529" s="16">
        <f t="shared" si="49"/>
        <v>40.81</v>
      </c>
      <c r="F529" s="164">
        <f t="shared" si="50"/>
        <v>244.87</v>
      </c>
      <c r="G529" s="143"/>
      <c r="H529" s="4"/>
      <c r="I529" s="72"/>
      <c r="J529" s="4"/>
      <c r="K529" s="42"/>
      <c r="L529" s="4"/>
      <c r="M529" s="4"/>
      <c r="N529" s="4"/>
      <c r="O529" s="4"/>
      <c r="Y529" s="153"/>
      <c r="BI529" s="154"/>
      <c r="BJ529" s="20"/>
    </row>
    <row r="530" spans="1:63" s="19" customFormat="1" ht="33" customHeight="1" x14ac:dyDescent="0.2">
      <c r="A530" s="270" t="s">
        <v>505</v>
      </c>
      <c r="B530" s="165" t="s">
        <v>506</v>
      </c>
      <c r="C530" s="298" t="s">
        <v>230</v>
      </c>
      <c r="D530" s="15">
        <f>169.7*1.05</f>
        <v>178.19</v>
      </c>
      <c r="E530" s="16">
        <f t="shared" si="49"/>
        <v>35.64</v>
      </c>
      <c r="F530" s="164">
        <f t="shared" si="50"/>
        <v>213.83</v>
      </c>
      <c r="G530" s="143"/>
      <c r="H530" s="4"/>
      <c r="I530" s="72"/>
      <c r="J530" s="4"/>
      <c r="K530" s="42"/>
      <c r="L530" s="4"/>
      <c r="M530" s="4"/>
      <c r="N530" s="4"/>
      <c r="O530" s="4"/>
      <c r="Y530" s="153"/>
      <c r="BI530" s="154"/>
      <c r="BJ530" s="20"/>
    </row>
    <row r="531" spans="1:63" s="19" customFormat="1" ht="33.75" customHeight="1" x14ac:dyDescent="0.2">
      <c r="A531" s="270" t="s">
        <v>507</v>
      </c>
      <c r="B531" s="165" t="s">
        <v>508</v>
      </c>
      <c r="C531" s="298" t="s">
        <v>230</v>
      </c>
      <c r="D531" s="15">
        <f>138.56*1.05</f>
        <v>145.49</v>
      </c>
      <c r="E531" s="16">
        <f t="shared" si="49"/>
        <v>29.1</v>
      </c>
      <c r="F531" s="164">
        <f>D531+E531</f>
        <v>174.59</v>
      </c>
      <c r="G531" s="143"/>
      <c r="H531" s="4"/>
      <c r="I531" s="72"/>
      <c r="J531" s="4"/>
      <c r="K531" s="42"/>
      <c r="L531" s="4"/>
      <c r="M531" s="4"/>
      <c r="N531" s="4"/>
      <c r="O531" s="4"/>
      <c r="Y531" s="153"/>
      <c r="BI531" s="154"/>
      <c r="BJ531" s="20"/>
    </row>
    <row r="532" spans="1:63" s="19" customFormat="1" ht="18.75" customHeight="1" x14ac:dyDescent="0.2">
      <c r="A532" s="270" t="s">
        <v>509</v>
      </c>
      <c r="B532" s="285" t="s">
        <v>510</v>
      </c>
      <c r="C532" s="298" t="s">
        <v>230</v>
      </c>
      <c r="D532" s="15">
        <f>245.08*1.05</f>
        <v>257.33</v>
      </c>
      <c r="E532" s="16">
        <f t="shared" si="49"/>
        <v>51.47</v>
      </c>
      <c r="F532" s="164">
        <f t="shared" si="50"/>
        <v>308.8</v>
      </c>
      <c r="G532" s="143"/>
      <c r="H532" s="4"/>
      <c r="I532" s="72"/>
      <c r="J532" s="4"/>
      <c r="K532" s="42"/>
      <c r="L532" s="4"/>
      <c r="M532" s="4"/>
      <c r="N532" s="4"/>
      <c r="O532" s="4"/>
      <c r="Y532" s="153"/>
      <c r="BI532" s="154"/>
      <c r="BJ532" s="20"/>
    </row>
    <row r="533" spans="1:63" s="19" customFormat="1" ht="20.25" customHeight="1" x14ac:dyDescent="0.2">
      <c r="A533" s="270" t="s">
        <v>511</v>
      </c>
      <c r="B533" s="285" t="s">
        <v>512</v>
      </c>
      <c r="C533" s="298" t="s">
        <v>230</v>
      </c>
      <c r="D533" s="15">
        <f>245.08*1.05</f>
        <v>257.33</v>
      </c>
      <c r="E533" s="16">
        <f t="shared" si="49"/>
        <v>51.47</v>
      </c>
      <c r="F533" s="164">
        <f t="shared" si="50"/>
        <v>308.8</v>
      </c>
      <c r="G533" s="143"/>
      <c r="H533" s="4"/>
      <c r="I533" s="72"/>
      <c r="J533" s="4"/>
      <c r="K533" s="42"/>
      <c r="L533" s="4"/>
      <c r="M533" s="4"/>
      <c r="N533" s="4"/>
      <c r="O533" s="4"/>
      <c r="Y533" s="153"/>
      <c r="BI533" s="154"/>
      <c r="BJ533" s="20"/>
    </row>
    <row r="534" spans="1:63" s="19" customFormat="1" ht="33.75" customHeight="1" x14ac:dyDescent="0.2">
      <c r="A534" s="270" t="s">
        <v>513</v>
      </c>
      <c r="B534" s="285" t="s">
        <v>514</v>
      </c>
      <c r="C534" s="298" t="s">
        <v>230</v>
      </c>
      <c r="D534" s="15">
        <f>183.98*1.05</f>
        <v>193.18</v>
      </c>
      <c r="E534" s="16">
        <f t="shared" si="49"/>
        <v>38.64</v>
      </c>
      <c r="F534" s="164">
        <f t="shared" si="50"/>
        <v>231.82</v>
      </c>
      <c r="G534" s="143"/>
      <c r="H534" s="4"/>
      <c r="I534" s="72"/>
      <c r="J534" s="4"/>
      <c r="K534" s="42"/>
      <c r="L534" s="4"/>
      <c r="M534" s="4"/>
      <c r="N534" s="4"/>
      <c r="O534" s="4"/>
      <c r="Y534" s="153"/>
      <c r="BI534" s="154"/>
      <c r="BJ534" s="20"/>
    </row>
    <row r="535" spans="1:63" s="19" customFormat="1" ht="33" customHeight="1" x14ac:dyDescent="0.2">
      <c r="A535" s="270" t="s">
        <v>515</v>
      </c>
      <c r="B535" s="175" t="s">
        <v>516</v>
      </c>
      <c r="C535" s="298" t="s">
        <v>230</v>
      </c>
      <c r="D535" s="15">
        <f>244.04*1.05</f>
        <v>256.24</v>
      </c>
      <c r="E535" s="16">
        <f t="shared" si="49"/>
        <v>51.25</v>
      </c>
      <c r="F535" s="164">
        <f>D535+E535</f>
        <v>307.49</v>
      </c>
      <c r="G535" s="143"/>
      <c r="H535" s="4"/>
      <c r="I535" s="72"/>
      <c r="J535" s="4"/>
      <c r="K535" s="42"/>
      <c r="L535" s="4"/>
      <c r="M535" s="4"/>
      <c r="N535" s="4"/>
      <c r="O535" s="4"/>
      <c r="Y535" s="153"/>
      <c r="BI535" s="154"/>
      <c r="BJ535" s="20"/>
    </row>
    <row r="536" spans="1:63" s="19" customFormat="1" ht="46.5" customHeight="1" x14ac:dyDescent="0.2">
      <c r="A536" s="270" t="s">
        <v>517</v>
      </c>
      <c r="B536" s="175" t="s">
        <v>518</v>
      </c>
      <c r="C536" s="298" t="s">
        <v>230</v>
      </c>
      <c r="D536" s="15">
        <f>299.85*1.05</f>
        <v>314.83999999999997</v>
      </c>
      <c r="E536" s="16">
        <f t="shared" si="49"/>
        <v>62.97</v>
      </c>
      <c r="F536" s="164">
        <f>D536+E536</f>
        <v>377.81</v>
      </c>
      <c r="G536" s="143"/>
      <c r="H536" s="4"/>
      <c r="I536" s="72"/>
      <c r="J536" s="4"/>
      <c r="K536" s="42"/>
      <c r="L536" s="4"/>
      <c r="M536" s="4"/>
      <c r="N536" s="4"/>
      <c r="O536" s="4"/>
      <c r="Y536" s="153"/>
      <c r="BI536" s="154"/>
      <c r="BJ536" s="20"/>
    </row>
    <row r="537" spans="1:63" s="19" customFormat="1" ht="21" customHeight="1" x14ac:dyDescent="0.2">
      <c r="A537" s="270" t="s">
        <v>519</v>
      </c>
      <c r="B537" s="175" t="s">
        <v>520</v>
      </c>
      <c r="C537" s="298" t="s">
        <v>230</v>
      </c>
      <c r="D537" s="15">
        <f>525.32*1.05</f>
        <v>551.59</v>
      </c>
      <c r="E537" s="16">
        <f>D537*20%</f>
        <v>110.32</v>
      </c>
      <c r="F537" s="164">
        <f>D537+E537</f>
        <v>661.91</v>
      </c>
      <c r="G537" s="143"/>
      <c r="H537" s="4"/>
      <c r="I537" s="72"/>
      <c r="J537" s="4"/>
      <c r="K537" s="42"/>
      <c r="L537" s="4"/>
      <c r="M537" s="4"/>
      <c r="N537" s="4"/>
      <c r="O537" s="4"/>
      <c r="Y537" s="153"/>
      <c r="BI537" s="154"/>
      <c r="BJ537" s="20"/>
      <c r="BK537" s="176" t="s">
        <v>521</v>
      </c>
    </row>
    <row r="538" spans="1:63" s="19" customFormat="1" ht="28.5" customHeight="1" x14ac:dyDescent="0.2">
      <c r="A538" s="270" t="s">
        <v>522</v>
      </c>
      <c r="B538" s="175" t="s">
        <v>523</v>
      </c>
      <c r="C538" s="298" t="s">
        <v>230</v>
      </c>
      <c r="D538" s="15">
        <f>694.24*1.05</f>
        <v>728.95</v>
      </c>
      <c r="E538" s="16">
        <f>D538*20%</f>
        <v>145.79</v>
      </c>
      <c r="F538" s="164">
        <f>D538+E538</f>
        <v>874.74</v>
      </c>
      <c r="G538" s="143"/>
      <c r="H538" s="4"/>
      <c r="I538" s="72"/>
      <c r="J538" s="4"/>
      <c r="K538" s="42"/>
      <c r="L538" s="4"/>
      <c r="M538" s="4"/>
      <c r="N538" s="4"/>
      <c r="O538" s="4"/>
      <c r="Y538" s="153"/>
      <c r="BI538" s="154"/>
      <c r="BJ538" s="20"/>
      <c r="BK538" s="176" t="s">
        <v>521</v>
      </c>
    </row>
    <row r="539" spans="1:63" s="19" customFormat="1" ht="28.5" customHeight="1" x14ac:dyDescent="0.2">
      <c r="A539" s="270" t="s">
        <v>1752</v>
      </c>
      <c r="B539" s="175" t="s">
        <v>1745</v>
      </c>
      <c r="C539" s="298" t="s">
        <v>230</v>
      </c>
      <c r="D539" s="15">
        <f>1968.71*1.05</f>
        <v>2067.15</v>
      </c>
      <c r="E539" s="16">
        <f t="shared" ref="E539:E543" si="51">D539*20%</f>
        <v>413.43</v>
      </c>
      <c r="F539" s="164">
        <f t="shared" ref="F539:F543" si="52">D539+E539</f>
        <v>2480.58</v>
      </c>
      <c r="G539" s="143"/>
      <c r="H539" s="4"/>
      <c r="I539" s="72"/>
      <c r="J539" s="4"/>
      <c r="K539" s="42"/>
      <c r="L539" s="4"/>
      <c r="M539" s="4"/>
      <c r="N539" s="4"/>
      <c r="O539" s="4"/>
      <c r="Y539" s="153"/>
      <c r="BI539" s="154"/>
      <c r="BJ539" s="20"/>
      <c r="BK539" s="176"/>
    </row>
    <row r="540" spans="1:63" s="19" customFormat="1" ht="33.75" customHeight="1" x14ac:dyDescent="0.2">
      <c r="A540" s="270" t="s">
        <v>1754</v>
      </c>
      <c r="B540" s="175" t="s">
        <v>1746</v>
      </c>
      <c r="C540" s="298" t="s">
        <v>230</v>
      </c>
      <c r="D540" s="15">
        <f>3202.5</f>
        <v>3202.5</v>
      </c>
      <c r="E540" s="16">
        <f t="shared" si="51"/>
        <v>640.5</v>
      </c>
      <c r="F540" s="164">
        <f t="shared" si="52"/>
        <v>3843</v>
      </c>
      <c r="G540" s="143"/>
      <c r="H540" s="4"/>
      <c r="I540" s="72"/>
      <c r="J540" s="4"/>
      <c r="K540" s="42"/>
      <c r="L540" s="4"/>
      <c r="M540" s="4"/>
      <c r="N540" s="4"/>
      <c r="O540" s="4"/>
      <c r="Y540" s="153"/>
      <c r="BI540" s="154"/>
      <c r="BJ540" s="20"/>
      <c r="BK540" s="176"/>
    </row>
    <row r="541" spans="1:63" s="19" customFormat="1" ht="28.5" customHeight="1" x14ac:dyDescent="0.2">
      <c r="A541" s="270" t="s">
        <v>1755</v>
      </c>
      <c r="B541" s="175" t="s">
        <v>1749</v>
      </c>
      <c r="C541" s="298" t="s">
        <v>230</v>
      </c>
      <c r="D541" s="15">
        <f>2479.46*1.05</f>
        <v>2603.4299999999998</v>
      </c>
      <c r="E541" s="16">
        <f t="shared" si="51"/>
        <v>520.69000000000005</v>
      </c>
      <c r="F541" s="164">
        <f t="shared" si="52"/>
        <v>3124.12</v>
      </c>
      <c r="G541" s="143"/>
      <c r="H541" s="4"/>
      <c r="I541" s="72"/>
      <c r="J541" s="4"/>
      <c r="K541" s="42"/>
      <c r="L541" s="4"/>
      <c r="M541" s="4"/>
      <c r="N541" s="4"/>
      <c r="O541" s="4"/>
      <c r="Y541" s="153"/>
      <c r="BI541" s="154"/>
      <c r="BJ541" s="20"/>
      <c r="BK541" s="176"/>
    </row>
    <row r="542" spans="1:63" s="19" customFormat="1" ht="28.5" customHeight="1" x14ac:dyDescent="0.2">
      <c r="A542" s="270" t="s">
        <v>1756</v>
      </c>
      <c r="B542" s="175" t="s">
        <v>1750</v>
      </c>
      <c r="C542" s="298" t="s">
        <v>230</v>
      </c>
      <c r="D542" s="15">
        <f>2494.88*1.05</f>
        <v>2619.62</v>
      </c>
      <c r="E542" s="16">
        <f t="shared" si="51"/>
        <v>523.91999999999996</v>
      </c>
      <c r="F542" s="164">
        <f t="shared" si="52"/>
        <v>3143.54</v>
      </c>
      <c r="G542" s="143"/>
      <c r="H542" s="4"/>
      <c r="I542" s="72"/>
      <c r="J542" s="4"/>
      <c r="K542" s="42"/>
      <c r="L542" s="4"/>
      <c r="M542" s="4"/>
      <c r="N542" s="4"/>
      <c r="O542" s="4"/>
      <c r="Y542" s="153"/>
      <c r="BI542" s="154"/>
      <c r="BJ542" s="20"/>
      <c r="BK542" s="176"/>
    </row>
    <row r="543" spans="1:63" s="19" customFormat="1" ht="28.5" customHeight="1" x14ac:dyDescent="0.2">
      <c r="A543" s="270" t="s">
        <v>1757</v>
      </c>
      <c r="B543" s="175" t="s">
        <v>1751</v>
      </c>
      <c r="C543" s="298" t="s">
        <v>230</v>
      </c>
      <c r="D543" s="15">
        <f>2108.48*1.05</f>
        <v>2213.9</v>
      </c>
      <c r="E543" s="16">
        <f t="shared" si="51"/>
        <v>442.78</v>
      </c>
      <c r="F543" s="164">
        <f t="shared" si="52"/>
        <v>2656.68</v>
      </c>
      <c r="G543" s="143"/>
      <c r="H543" s="4"/>
      <c r="I543" s="72"/>
      <c r="J543" s="4"/>
      <c r="K543" s="42"/>
      <c r="L543" s="4"/>
      <c r="M543" s="4"/>
      <c r="N543" s="4"/>
      <c r="O543" s="4"/>
      <c r="Y543" s="153"/>
      <c r="BI543" s="154"/>
      <c r="BJ543" s="20"/>
      <c r="BK543" s="176"/>
    </row>
    <row r="544" spans="1:63" s="19" customFormat="1" ht="28.5" customHeight="1" x14ac:dyDescent="0.2">
      <c r="A544" s="270" t="s">
        <v>1849</v>
      </c>
      <c r="B544" s="175" t="s">
        <v>1851</v>
      </c>
      <c r="C544" s="298" t="s">
        <v>230</v>
      </c>
      <c r="D544" s="15">
        <f>6637.3*1.05</f>
        <v>6969.17</v>
      </c>
      <c r="E544" s="16">
        <f t="shared" ref="E544:E545" si="53">D544*20%</f>
        <v>1393.83</v>
      </c>
      <c r="F544" s="164">
        <f t="shared" ref="F544:F545" si="54">D544+E544</f>
        <v>8363</v>
      </c>
      <c r="G544" s="143"/>
      <c r="H544" s="4"/>
      <c r="I544" s="72"/>
      <c r="J544" s="4"/>
      <c r="K544" s="42"/>
      <c r="L544" s="4"/>
      <c r="M544" s="4"/>
      <c r="N544" s="4"/>
      <c r="O544" s="4"/>
      <c r="Y544" s="153"/>
      <c r="BI544" s="154"/>
      <c r="BJ544" s="20"/>
      <c r="BK544" s="176"/>
    </row>
    <row r="545" spans="1:63" s="19" customFormat="1" ht="28.5" customHeight="1" x14ac:dyDescent="0.2">
      <c r="A545" s="270" t="s">
        <v>1850</v>
      </c>
      <c r="B545" s="175" t="s">
        <v>1852</v>
      </c>
      <c r="C545" s="298" t="s">
        <v>230</v>
      </c>
      <c r="D545" s="15">
        <f>6637.3*1.05</f>
        <v>6969.17</v>
      </c>
      <c r="E545" s="16">
        <f t="shared" si="53"/>
        <v>1393.83</v>
      </c>
      <c r="F545" s="164">
        <f t="shared" si="54"/>
        <v>8363</v>
      </c>
      <c r="G545" s="143"/>
      <c r="H545" s="4"/>
      <c r="I545" s="72"/>
      <c r="J545" s="4"/>
      <c r="K545" s="42"/>
      <c r="L545" s="4"/>
      <c r="M545" s="4"/>
      <c r="N545" s="4"/>
      <c r="O545" s="4"/>
      <c r="Y545" s="153"/>
      <c r="BI545" s="154"/>
      <c r="BJ545" s="20"/>
      <c r="BK545" s="176"/>
    </row>
    <row r="546" spans="1:63" s="19" customFormat="1" ht="24" customHeight="1" x14ac:dyDescent="0.2">
      <c r="A546" s="270" t="s">
        <v>1853</v>
      </c>
      <c r="B546" s="344" t="s">
        <v>1854</v>
      </c>
      <c r="C546" s="345"/>
      <c r="D546" s="345"/>
      <c r="E546" s="345"/>
      <c r="F546" s="346"/>
      <c r="G546" s="143"/>
      <c r="H546" s="4"/>
      <c r="I546" s="72"/>
      <c r="J546" s="4"/>
      <c r="K546" s="42"/>
      <c r="L546" s="4"/>
      <c r="M546" s="4"/>
      <c r="N546" s="4"/>
      <c r="O546" s="4"/>
      <c r="Y546" s="153"/>
      <c r="BI546" s="154"/>
      <c r="BJ546" s="20"/>
      <c r="BK546" s="176"/>
    </row>
    <row r="547" spans="1:63" s="19" customFormat="1" ht="31.5" customHeight="1" x14ac:dyDescent="0.2">
      <c r="A547" s="270" t="s">
        <v>1855</v>
      </c>
      <c r="B547" s="175" t="s">
        <v>1856</v>
      </c>
      <c r="C547" s="298" t="s">
        <v>230</v>
      </c>
      <c r="D547" s="15">
        <f>7433.78*1.05</f>
        <v>7805.47</v>
      </c>
      <c r="E547" s="16">
        <f t="shared" ref="E547" si="55">D547*20%</f>
        <v>1561.09</v>
      </c>
      <c r="F547" s="164">
        <f t="shared" ref="F547" si="56">D547+E547</f>
        <v>9366.56</v>
      </c>
      <c r="G547" s="143"/>
      <c r="H547" s="4"/>
      <c r="I547" s="72"/>
      <c r="J547" s="4"/>
      <c r="K547" s="42"/>
      <c r="L547" s="4"/>
      <c r="M547" s="4"/>
      <c r="N547" s="4"/>
      <c r="O547" s="4"/>
      <c r="Y547" s="153"/>
      <c r="BI547" s="154"/>
      <c r="BJ547" s="20"/>
      <c r="BK547" s="176"/>
    </row>
    <row r="548" spans="1:63" s="19" customFormat="1" ht="21.75" customHeight="1" x14ac:dyDescent="0.2">
      <c r="A548" s="177" t="s">
        <v>195</v>
      </c>
      <c r="B548" s="326" t="s">
        <v>524</v>
      </c>
      <c r="C548" s="326"/>
      <c r="D548" s="326"/>
      <c r="E548" s="326"/>
      <c r="F548" s="326"/>
      <c r="G548" s="143"/>
      <c r="H548" s="4"/>
      <c r="I548" s="72"/>
      <c r="J548" s="4"/>
      <c r="K548" s="42"/>
      <c r="L548" s="4"/>
      <c r="M548" s="4"/>
      <c r="N548" s="4"/>
      <c r="O548" s="4"/>
      <c r="Y548" s="153"/>
      <c r="BI548" s="154"/>
      <c r="BJ548" s="20"/>
    </row>
    <row r="549" spans="1:63" s="19" customFormat="1" ht="46.5" customHeight="1" x14ac:dyDescent="0.2">
      <c r="A549" s="288" t="s">
        <v>200</v>
      </c>
      <c r="B549" s="279" t="s">
        <v>525</v>
      </c>
      <c r="C549" s="298" t="s">
        <v>230</v>
      </c>
      <c r="D549" s="15">
        <f>76.15*1.05</f>
        <v>79.959999999999994</v>
      </c>
      <c r="E549" s="16">
        <f t="shared" ref="E549:E554" si="57">D549*20%</f>
        <v>15.99</v>
      </c>
      <c r="F549" s="164">
        <f t="shared" ref="F549:F554" si="58">D549+E549</f>
        <v>95.95</v>
      </c>
      <c r="G549" s="143"/>
      <c r="H549" s="4"/>
      <c r="I549" s="72"/>
      <c r="J549" s="4"/>
      <c r="K549" s="42"/>
      <c r="L549" s="4"/>
      <c r="M549" s="4"/>
      <c r="N549" s="4"/>
      <c r="O549" s="4"/>
      <c r="Y549" s="153"/>
      <c r="BI549" s="154"/>
      <c r="BJ549" s="20"/>
    </row>
    <row r="550" spans="1:63" s="19" customFormat="1" ht="18" customHeight="1" x14ac:dyDescent="0.2">
      <c r="A550" s="288" t="s">
        <v>204</v>
      </c>
      <c r="B550" s="285" t="s">
        <v>526</v>
      </c>
      <c r="C550" s="298" t="s">
        <v>230</v>
      </c>
      <c r="D550" s="15">
        <f>59.28*1.05</f>
        <v>62.24</v>
      </c>
      <c r="E550" s="16">
        <f t="shared" si="57"/>
        <v>12.45</v>
      </c>
      <c r="F550" s="164">
        <f t="shared" si="58"/>
        <v>74.69</v>
      </c>
      <c r="G550" s="143"/>
      <c r="H550" s="4"/>
      <c r="I550" s="72"/>
      <c r="J550" s="4"/>
      <c r="K550" s="42"/>
      <c r="L550" s="4"/>
      <c r="M550" s="4"/>
      <c r="N550" s="4"/>
      <c r="O550" s="4"/>
      <c r="Y550" s="153"/>
      <c r="BI550" s="154"/>
      <c r="BJ550" s="20"/>
    </row>
    <row r="551" spans="1:63" s="19" customFormat="1" ht="28.5" customHeight="1" x14ac:dyDescent="0.2">
      <c r="A551" s="288" t="s">
        <v>527</v>
      </c>
      <c r="B551" s="285" t="s">
        <v>528</v>
      </c>
      <c r="C551" s="298" t="s">
        <v>230</v>
      </c>
      <c r="D551" s="15">
        <f>61.36*1.05</f>
        <v>64.430000000000007</v>
      </c>
      <c r="E551" s="16">
        <f t="shared" si="57"/>
        <v>12.89</v>
      </c>
      <c r="F551" s="164">
        <f t="shared" si="58"/>
        <v>77.319999999999993</v>
      </c>
      <c r="G551" s="143"/>
      <c r="H551" s="4"/>
      <c r="I551" s="72"/>
      <c r="J551" s="4"/>
      <c r="K551" s="42"/>
      <c r="L551" s="4"/>
      <c r="M551" s="4"/>
      <c r="N551" s="4"/>
      <c r="O551" s="4"/>
      <c r="Y551" s="153"/>
      <c r="BI551" s="154"/>
      <c r="BJ551" s="20"/>
    </row>
    <row r="552" spans="1:63" s="19" customFormat="1" ht="24.75" customHeight="1" x14ac:dyDescent="0.2">
      <c r="A552" s="288" t="s">
        <v>529</v>
      </c>
      <c r="B552" s="285" t="s">
        <v>530</v>
      </c>
      <c r="C552" s="298" t="s">
        <v>230</v>
      </c>
      <c r="D552" s="15">
        <f>66.56*1.05</f>
        <v>69.89</v>
      </c>
      <c r="E552" s="16">
        <f t="shared" si="57"/>
        <v>13.98</v>
      </c>
      <c r="F552" s="164">
        <f t="shared" si="58"/>
        <v>83.87</v>
      </c>
      <c r="G552" s="143"/>
      <c r="H552" s="4"/>
      <c r="I552" s="72"/>
      <c r="J552" s="4"/>
      <c r="K552" s="42"/>
      <c r="L552" s="4"/>
      <c r="M552" s="4"/>
      <c r="N552" s="4"/>
      <c r="O552" s="4"/>
      <c r="Y552" s="153"/>
      <c r="BI552" s="154"/>
      <c r="BJ552" s="20"/>
    </row>
    <row r="553" spans="1:63" s="19" customFormat="1" ht="26.25" customHeight="1" x14ac:dyDescent="0.2">
      <c r="A553" s="288" t="s">
        <v>531</v>
      </c>
      <c r="B553" s="285" t="s">
        <v>532</v>
      </c>
      <c r="C553" s="298" t="s">
        <v>230</v>
      </c>
      <c r="D553" s="15">
        <f>64.48*1.05</f>
        <v>67.7</v>
      </c>
      <c r="E553" s="16">
        <f t="shared" si="57"/>
        <v>13.54</v>
      </c>
      <c r="F553" s="164">
        <f t="shared" si="58"/>
        <v>81.239999999999995</v>
      </c>
      <c r="G553" s="143"/>
      <c r="H553" s="4"/>
      <c r="I553" s="72"/>
      <c r="J553" s="4"/>
      <c r="K553" s="42"/>
      <c r="L553" s="4"/>
      <c r="M553" s="4"/>
      <c r="N553" s="4"/>
      <c r="O553" s="4"/>
      <c r="Y553" s="153"/>
      <c r="BI553" s="154"/>
      <c r="BJ553" s="20"/>
    </row>
    <row r="554" spans="1:63" s="19" customFormat="1" ht="24" customHeight="1" x14ac:dyDescent="0.2">
      <c r="A554" s="288" t="s">
        <v>533</v>
      </c>
      <c r="B554" s="285" t="s">
        <v>534</v>
      </c>
      <c r="C554" s="298" t="s">
        <v>230</v>
      </c>
      <c r="D554" s="15">
        <f>31.65*1.05</f>
        <v>33.229999999999997</v>
      </c>
      <c r="E554" s="16">
        <f t="shared" si="57"/>
        <v>6.65</v>
      </c>
      <c r="F554" s="164">
        <f t="shared" si="58"/>
        <v>39.880000000000003</v>
      </c>
      <c r="G554" s="143"/>
      <c r="H554" s="4"/>
      <c r="I554" s="72"/>
      <c r="J554" s="4"/>
      <c r="K554" s="42"/>
      <c r="L554" s="4"/>
      <c r="M554" s="4"/>
      <c r="N554" s="4"/>
      <c r="O554" s="4"/>
      <c r="Y554" s="153"/>
      <c r="BI554" s="154"/>
      <c r="BJ554" s="20"/>
    </row>
    <row r="555" spans="1:63" s="19" customFormat="1" ht="15.75" customHeight="1" x14ac:dyDescent="0.2">
      <c r="A555" s="288"/>
      <c r="B555" s="313" t="s">
        <v>535</v>
      </c>
      <c r="C555" s="313"/>
      <c r="D555" s="313"/>
      <c r="E555" s="313"/>
      <c r="F555" s="313"/>
      <c r="G555" s="143"/>
      <c r="H555" s="4"/>
      <c r="I555" s="72"/>
      <c r="J555" s="4"/>
      <c r="K555" s="42"/>
      <c r="L555" s="4"/>
      <c r="M555" s="4"/>
      <c r="N555" s="4"/>
      <c r="O555" s="4"/>
      <c r="Y555" s="153"/>
      <c r="BI555" s="154"/>
      <c r="BJ555" s="20"/>
    </row>
    <row r="556" spans="1:63" s="19" customFormat="1" ht="19.5" customHeight="1" x14ac:dyDescent="0.2">
      <c r="A556" s="288" t="s">
        <v>536</v>
      </c>
      <c r="B556" s="285" t="s">
        <v>537</v>
      </c>
      <c r="C556" s="298" t="s">
        <v>230</v>
      </c>
      <c r="D556" s="15">
        <f>194.48*1.05</f>
        <v>204.2</v>
      </c>
      <c r="E556" s="16">
        <f t="shared" ref="E556:E571" si="59">D556*20%</f>
        <v>40.840000000000003</v>
      </c>
      <c r="F556" s="164">
        <f t="shared" ref="F556:F571" si="60">D556+E556</f>
        <v>245.04</v>
      </c>
      <c r="G556" s="143"/>
      <c r="H556" s="4"/>
      <c r="I556" s="72"/>
      <c r="J556" s="4"/>
      <c r="K556" s="42"/>
      <c r="L556" s="4"/>
      <c r="M556" s="4"/>
      <c r="N556" s="4"/>
      <c r="O556" s="4"/>
      <c r="Y556" s="153"/>
      <c r="BI556" s="154"/>
      <c r="BJ556" s="20"/>
    </row>
    <row r="557" spans="1:63" s="19" customFormat="1" ht="22.5" customHeight="1" x14ac:dyDescent="0.2">
      <c r="A557" s="288" t="s">
        <v>538</v>
      </c>
      <c r="B557" s="285" t="s">
        <v>539</v>
      </c>
      <c r="C557" s="298" t="s">
        <v>230</v>
      </c>
      <c r="D557" s="15">
        <f>105.26*1.05</f>
        <v>110.52</v>
      </c>
      <c r="E557" s="16">
        <f t="shared" si="59"/>
        <v>22.1</v>
      </c>
      <c r="F557" s="164">
        <f t="shared" si="60"/>
        <v>132.62</v>
      </c>
      <c r="G557" s="143"/>
      <c r="H557" s="4"/>
      <c r="I557" s="72"/>
      <c r="J557" s="4"/>
      <c r="K557" s="42"/>
      <c r="L557" s="4"/>
      <c r="M557" s="4"/>
      <c r="N557" s="4"/>
      <c r="O557" s="4"/>
      <c r="Y557" s="153"/>
      <c r="BI557" s="154"/>
      <c r="BJ557" s="20"/>
    </row>
    <row r="558" spans="1:63" s="19" customFormat="1" ht="20.25" customHeight="1" x14ac:dyDescent="0.2">
      <c r="A558" s="288" t="s">
        <v>540</v>
      </c>
      <c r="B558" s="285" t="s">
        <v>541</v>
      </c>
      <c r="C558" s="298" t="s">
        <v>230</v>
      </c>
      <c r="D558" s="15">
        <f>57.46*1.05</f>
        <v>60.33</v>
      </c>
      <c r="E558" s="16">
        <f t="shared" si="59"/>
        <v>12.07</v>
      </c>
      <c r="F558" s="164">
        <f t="shared" si="60"/>
        <v>72.400000000000006</v>
      </c>
      <c r="G558" s="143"/>
      <c r="H558" s="4"/>
      <c r="I558" s="72"/>
      <c r="J558" s="4"/>
      <c r="K558" s="42"/>
      <c r="L558" s="4"/>
      <c r="M558" s="4"/>
      <c r="N558" s="4"/>
      <c r="O558" s="4"/>
      <c r="Y558" s="153"/>
      <c r="BI558" s="154"/>
      <c r="BJ558" s="20"/>
    </row>
    <row r="559" spans="1:63" s="19" customFormat="1" ht="20.25" customHeight="1" x14ac:dyDescent="0.2">
      <c r="A559" s="288" t="s">
        <v>542</v>
      </c>
      <c r="B559" s="285" t="s">
        <v>543</v>
      </c>
      <c r="C559" s="298" t="s">
        <v>230</v>
      </c>
      <c r="D559" s="15">
        <f>232.54*1.05</f>
        <v>244.17</v>
      </c>
      <c r="E559" s="16">
        <f t="shared" si="59"/>
        <v>48.83</v>
      </c>
      <c r="F559" s="164">
        <f t="shared" si="60"/>
        <v>293</v>
      </c>
      <c r="G559" s="143"/>
      <c r="H559" s="4"/>
      <c r="I559" s="72"/>
      <c r="J559" s="4"/>
      <c r="K559" s="42"/>
      <c r="L559" s="4"/>
      <c r="M559" s="4"/>
      <c r="N559" s="4"/>
      <c r="O559" s="4"/>
      <c r="Y559" s="153"/>
      <c r="BI559" s="154"/>
      <c r="BJ559" s="20"/>
    </row>
    <row r="560" spans="1:63" s="19" customFormat="1" ht="27" customHeight="1" x14ac:dyDescent="0.2">
      <c r="A560" s="288" t="s">
        <v>544</v>
      </c>
      <c r="B560" s="285" t="s">
        <v>545</v>
      </c>
      <c r="C560" s="298" t="s">
        <v>230</v>
      </c>
      <c r="D560" s="15">
        <f>125.74*1.05</f>
        <v>132.03</v>
      </c>
      <c r="E560" s="16">
        <f t="shared" si="59"/>
        <v>26.41</v>
      </c>
      <c r="F560" s="164">
        <f t="shared" si="60"/>
        <v>158.44</v>
      </c>
      <c r="G560" s="143"/>
      <c r="H560" s="4"/>
      <c r="I560" s="72"/>
      <c r="J560" s="4"/>
      <c r="K560" s="42"/>
      <c r="L560" s="4"/>
      <c r="M560" s="4"/>
      <c r="N560" s="4"/>
      <c r="O560" s="4"/>
      <c r="Y560" s="153"/>
      <c r="BI560" s="154"/>
      <c r="BJ560" s="20"/>
    </row>
    <row r="561" spans="1:62" s="19" customFormat="1" ht="21" customHeight="1" x14ac:dyDescent="0.2">
      <c r="A561" s="288" t="s">
        <v>546</v>
      </c>
      <c r="B561" s="285" t="s">
        <v>547</v>
      </c>
      <c r="C561" s="298" t="s">
        <v>230</v>
      </c>
      <c r="D561" s="15">
        <f>105.48*1.05</f>
        <v>110.75</v>
      </c>
      <c r="E561" s="16">
        <f t="shared" si="59"/>
        <v>22.15</v>
      </c>
      <c r="F561" s="164">
        <f t="shared" si="60"/>
        <v>132.9</v>
      </c>
      <c r="G561" s="143"/>
      <c r="H561" s="4"/>
      <c r="I561" s="72"/>
      <c r="J561" s="4"/>
      <c r="K561" s="42"/>
      <c r="L561" s="4"/>
      <c r="M561" s="4"/>
      <c r="N561" s="4"/>
      <c r="O561" s="4"/>
      <c r="Y561" s="153"/>
      <c r="BI561" s="154"/>
      <c r="BJ561" s="20"/>
    </row>
    <row r="562" spans="1:62" s="19" customFormat="1" ht="23.25" customHeight="1" x14ac:dyDescent="0.2">
      <c r="A562" s="288" t="s">
        <v>548</v>
      </c>
      <c r="B562" s="285" t="s">
        <v>549</v>
      </c>
      <c r="C562" s="298" t="s">
        <v>230</v>
      </c>
      <c r="D562" s="15">
        <f>62.62*1.05</f>
        <v>65.75</v>
      </c>
      <c r="E562" s="16">
        <f t="shared" si="59"/>
        <v>13.15</v>
      </c>
      <c r="F562" s="164">
        <f t="shared" si="60"/>
        <v>78.900000000000006</v>
      </c>
      <c r="G562" s="143"/>
      <c r="H562" s="4"/>
      <c r="I562" s="72"/>
      <c r="J562" s="4"/>
      <c r="K562" s="42"/>
      <c r="L562" s="4"/>
      <c r="M562" s="4"/>
      <c r="N562" s="4"/>
      <c r="O562" s="4"/>
      <c r="Y562" s="153"/>
      <c r="BI562" s="154"/>
      <c r="BJ562" s="20"/>
    </row>
    <row r="563" spans="1:62" s="19" customFormat="1" ht="17.25" customHeight="1" x14ac:dyDescent="0.2">
      <c r="A563" s="288" t="s">
        <v>550</v>
      </c>
      <c r="B563" s="285" t="s">
        <v>551</v>
      </c>
      <c r="C563" s="298" t="s">
        <v>230</v>
      </c>
      <c r="D563" s="15">
        <f>288.93*1.05</f>
        <v>303.38</v>
      </c>
      <c r="E563" s="16">
        <f t="shared" si="59"/>
        <v>60.68</v>
      </c>
      <c r="F563" s="164">
        <f t="shared" si="60"/>
        <v>364.06</v>
      </c>
      <c r="G563" s="143"/>
      <c r="H563" s="4"/>
      <c r="I563" s="72"/>
      <c r="J563" s="4"/>
      <c r="K563" s="42"/>
      <c r="L563" s="4"/>
      <c r="M563" s="4"/>
      <c r="N563" s="4"/>
      <c r="O563" s="4"/>
      <c r="Y563" s="153"/>
      <c r="BI563" s="154"/>
      <c r="BJ563" s="20"/>
    </row>
    <row r="564" spans="1:62" s="19" customFormat="1" ht="19.5" customHeight="1" x14ac:dyDescent="0.2">
      <c r="A564" s="288" t="s">
        <v>552</v>
      </c>
      <c r="B564" s="285" t="s">
        <v>553</v>
      </c>
      <c r="C564" s="298" t="s">
        <v>230</v>
      </c>
      <c r="D564" s="15">
        <f>89.94*1.05</f>
        <v>94.44</v>
      </c>
      <c r="E564" s="16">
        <f t="shared" si="59"/>
        <v>18.89</v>
      </c>
      <c r="F564" s="164">
        <f t="shared" si="60"/>
        <v>113.33</v>
      </c>
      <c r="G564" s="143"/>
      <c r="H564" s="4"/>
      <c r="I564" s="72"/>
      <c r="J564" s="4"/>
      <c r="K564" s="42"/>
      <c r="L564" s="4"/>
      <c r="M564" s="4"/>
      <c r="N564" s="4"/>
      <c r="O564" s="4"/>
      <c r="Y564" s="153"/>
      <c r="BI564" s="154"/>
      <c r="BJ564" s="20"/>
    </row>
    <row r="565" spans="1:62" s="19" customFormat="1" ht="18.75" customHeight="1" x14ac:dyDescent="0.2">
      <c r="A565" s="288" t="s">
        <v>554</v>
      </c>
      <c r="B565" s="285" t="s">
        <v>555</v>
      </c>
      <c r="C565" s="298" t="s">
        <v>230</v>
      </c>
      <c r="D565" s="15">
        <f>50.73*1.05</f>
        <v>53.27</v>
      </c>
      <c r="E565" s="16">
        <f t="shared" si="59"/>
        <v>10.65</v>
      </c>
      <c r="F565" s="164">
        <f t="shared" si="60"/>
        <v>63.92</v>
      </c>
      <c r="G565" s="143"/>
      <c r="H565" s="4"/>
      <c r="I565" s="72"/>
      <c r="J565" s="4"/>
      <c r="K565" s="42"/>
      <c r="L565" s="4"/>
      <c r="M565" s="4"/>
      <c r="N565" s="4"/>
      <c r="O565" s="4"/>
      <c r="Y565" s="153"/>
      <c r="BI565" s="154"/>
      <c r="BJ565" s="20"/>
    </row>
    <row r="566" spans="1:62" s="19" customFormat="1" ht="30" customHeight="1" x14ac:dyDescent="0.2">
      <c r="A566" s="288" t="s">
        <v>556</v>
      </c>
      <c r="B566" s="285" t="s">
        <v>557</v>
      </c>
      <c r="C566" s="298" t="s">
        <v>230</v>
      </c>
      <c r="D566" s="15">
        <f>35.49*1.05</f>
        <v>37.26</v>
      </c>
      <c r="E566" s="16">
        <f t="shared" si="59"/>
        <v>7.45</v>
      </c>
      <c r="F566" s="164">
        <f t="shared" si="60"/>
        <v>44.71</v>
      </c>
      <c r="G566" s="143"/>
      <c r="H566" s="4"/>
      <c r="I566" s="72"/>
      <c r="J566" s="4"/>
      <c r="K566" s="42"/>
      <c r="L566" s="4"/>
      <c r="M566" s="4"/>
      <c r="N566" s="4"/>
      <c r="O566" s="4"/>
      <c r="Y566" s="153"/>
      <c r="BI566" s="154"/>
      <c r="BJ566" s="20"/>
    </row>
    <row r="567" spans="1:62" s="19" customFormat="1" ht="18" customHeight="1" x14ac:dyDescent="0.2">
      <c r="A567" s="288" t="s">
        <v>558</v>
      </c>
      <c r="B567" s="285" t="s">
        <v>559</v>
      </c>
      <c r="C567" s="298" t="s">
        <v>230</v>
      </c>
      <c r="D567" s="15">
        <f>32*1.05</f>
        <v>33.6</v>
      </c>
      <c r="E567" s="16">
        <f t="shared" si="59"/>
        <v>6.72</v>
      </c>
      <c r="F567" s="164">
        <f t="shared" si="60"/>
        <v>40.32</v>
      </c>
      <c r="G567" s="143"/>
      <c r="H567" s="4"/>
      <c r="I567" s="72"/>
      <c r="J567" s="4"/>
      <c r="K567" s="42"/>
      <c r="L567" s="4"/>
      <c r="M567" s="4"/>
      <c r="N567" s="4"/>
      <c r="O567" s="4"/>
      <c r="Y567" s="153"/>
      <c r="BI567" s="154"/>
      <c r="BJ567" s="20"/>
    </row>
    <row r="568" spans="1:62" s="19" customFormat="1" ht="37.5" customHeight="1" x14ac:dyDescent="0.2">
      <c r="A568" s="288" t="s">
        <v>560</v>
      </c>
      <c r="B568" s="285" t="s">
        <v>561</v>
      </c>
      <c r="C568" s="298" t="s">
        <v>230</v>
      </c>
      <c r="D568" s="15">
        <f>92.54*1.05</f>
        <v>97.17</v>
      </c>
      <c r="E568" s="16">
        <f t="shared" si="59"/>
        <v>19.43</v>
      </c>
      <c r="F568" s="164">
        <f t="shared" si="60"/>
        <v>116.6</v>
      </c>
      <c r="G568" s="143"/>
      <c r="H568" s="4"/>
      <c r="I568" s="72"/>
      <c r="J568" s="4"/>
      <c r="K568" s="42"/>
      <c r="L568" s="4"/>
      <c r="M568" s="4"/>
      <c r="N568" s="4"/>
      <c r="O568" s="4"/>
      <c r="Y568" s="153"/>
      <c r="BI568" s="154"/>
      <c r="BJ568" s="20"/>
    </row>
    <row r="569" spans="1:62" s="19" customFormat="1" ht="35.25" customHeight="1" x14ac:dyDescent="0.2">
      <c r="A569" s="288" t="s">
        <v>562</v>
      </c>
      <c r="B569" s="285" t="s">
        <v>563</v>
      </c>
      <c r="C569" s="298" t="s">
        <v>230</v>
      </c>
      <c r="D569" s="15">
        <f>68.07*1.05</f>
        <v>71.47</v>
      </c>
      <c r="E569" s="16">
        <f t="shared" si="59"/>
        <v>14.29</v>
      </c>
      <c r="F569" s="164">
        <f t="shared" si="60"/>
        <v>85.76</v>
      </c>
      <c r="G569" s="143"/>
      <c r="H569" s="4"/>
      <c r="I569" s="72"/>
      <c r="J569" s="4"/>
      <c r="K569" s="42"/>
      <c r="L569" s="4"/>
      <c r="M569" s="4"/>
      <c r="N569" s="4"/>
      <c r="O569" s="4"/>
      <c r="Y569" s="153"/>
      <c r="BI569" s="154"/>
      <c r="BJ569" s="20"/>
    </row>
    <row r="570" spans="1:62" s="19" customFormat="1" ht="32.25" customHeight="1" x14ac:dyDescent="0.2">
      <c r="A570" s="288" t="s">
        <v>564</v>
      </c>
      <c r="B570" s="285" t="s">
        <v>565</v>
      </c>
      <c r="C570" s="298" t="s">
        <v>230</v>
      </c>
      <c r="D570" s="15">
        <f>48.27*1.05</f>
        <v>50.68</v>
      </c>
      <c r="E570" s="16">
        <f t="shared" si="59"/>
        <v>10.14</v>
      </c>
      <c r="F570" s="164">
        <f t="shared" si="60"/>
        <v>60.82</v>
      </c>
      <c r="G570" s="143"/>
      <c r="H570" s="4"/>
      <c r="I570" s="72"/>
      <c r="J570" s="4"/>
      <c r="K570" s="42"/>
      <c r="L570" s="4"/>
      <c r="M570" s="4"/>
      <c r="N570" s="4"/>
      <c r="O570" s="4"/>
      <c r="Y570" s="153"/>
      <c r="BI570" s="154"/>
      <c r="BJ570" s="20"/>
    </row>
    <row r="571" spans="1:62" s="19" customFormat="1" ht="37.5" customHeight="1" x14ac:dyDescent="0.2">
      <c r="A571" s="288" t="s">
        <v>566</v>
      </c>
      <c r="B571" s="165" t="s">
        <v>567</v>
      </c>
      <c r="C571" s="298" t="s">
        <v>230</v>
      </c>
      <c r="D571" s="15">
        <f>36.14*1.05</f>
        <v>37.950000000000003</v>
      </c>
      <c r="E571" s="16">
        <f t="shared" si="59"/>
        <v>7.59</v>
      </c>
      <c r="F571" s="164">
        <f t="shared" si="60"/>
        <v>45.54</v>
      </c>
      <c r="G571" s="143"/>
      <c r="H571" s="4"/>
      <c r="I571" s="72"/>
      <c r="J571" s="4"/>
      <c r="K571" s="42"/>
      <c r="L571" s="4"/>
      <c r="M571" s="4"/>
      <c r="N571" s="4"/>
      <c r="O571" s="4"/>
      <c r="Y571" s="153"/>
      <c r="BI571" s="154"/>
      <c r="BJ571" s="20"/>
    </row>
    <row r="572" spans="1:62" s="19" customFormat="1" ht="24" customHeight="1" x14ac:dyDescent="0.2">
      <c r="A572" s="178" t="s">
        <v>23</v>
      </c>
      <c r="B572" s="312" t="s">
        <v>568</v>
      </c>
      <c r="C572" s="312"/>
      <c r="D572" s="312"/>
      <c r="E572" s="312"/>
      <c r="F572" s="312"/>
      <c r="G572" s="143"/>
      <c r="H572" s="4"/>
      <c r="I572" s="72"/>
      <c r="J572" s="4"/>
      <c r="K572" s="42"/>
      <c r="L572" s="4"/>
      <c r="M572" s="4"/>
      <c r="N572" s="4"/>
      <c r="O572" s="4"/>
      <c r="Y572" s="153"/>
      <c r="BI572" s="154"/>
      <c r="BJ572" s="20"/>
    </row>
    <row r="573" spans="1:62" s="19" customFormat="1" ht="46.5" customHeight="1" x14ac:dyDescent="0.2">
      <c r="A573" s="288" t="s">
        <v>569</v>
      </c>
      <c r="B573" s="279" t="s">
        <v>570</v>
      </c>
      <c r="C573" s="298" t="s">
        <v>230</v>
      </c>
      <c r="D573" s="15">
        <f>76.15*1.05</f>
        <v>79.959999999999994</v>
      </c>
      <c r="E573" s="16">
        <f>D573*20%</f>
        <v>15.99</v>
      </c>
      <c r="F573" s="164">
        <f>D573+E573</f>
        <v>95.95</v>
      </c>
      <c r="G573" s="143"/>
      <c r="H573" s="4"/>
      <c r="I573" s="72"/>
      <c r="J573" s="4"/>
      <c r="K573" s="42"/>
      <c r="L573" s="4"/>
      <c r="M573" s="4"/>
      <c r="N573" s="4"/>
      <c r="O573" s="4"/>
      <c r="Y573" s="153"/>
      <c r="BI573" s="154"/>
      <c r="BJ573" s="20"/>
    </row>
    <row r="574" spans="1:62" s="19" customFormat="1" ht="21.75" customHeight="1" x14ac:dyDescent="0.2">
      <c r="A574" s="288" t="s">
        <v>571</v>
      </c>
      <c r="B574" s="285" t="s">
        <v>572</v>
      </c>
      <c r="C574" s="298" t="s">
        <v>230</v>
      </c>
      <c r="D574" s="15">
        <f>13.77*1.05</f>
        <v>14.46</v>
      </c>
      <c r="E574" s="16">
        <f>D574*20%</f>
        <v>2.89</v>
      </c>
      <c r="F574" s="164">
        <f>D574+E574</f>
        <v>17.350000000000001</v>
      </c>
      <c r="G574" s="143"/>
      <c r="H574" s="4"/>
      <c r="I574" s="72"/>
      <c r="J574" s="4"/>
      <c r="K574" s="42"/>
      <c r="L574" s="4"/>
      <c r="M574" s="4"/>
      <c r="N574" s="4"/>
      <c r="O574" s="4"/>
      <c r="Y574" s="153"/>
      <c r="BI574" s="154"/>
      <c r="BJ574" s="20"/>
    </row>
    <row r="575" spans="1:62" s="19" customFormat="1" ht="19.5" customHeight="1" x14ac:dyDescent="0.2">
      <c r="A575" s="288"/>
      <c r="B575" s="313" t="s">
        <v>535</v>
      </c>
      <c r="C575" s="313"/>
      <c r="D575" s="313"/>
      <c r="E575" s="313"/>
      <c r="F575" s="313"/>
      <c r="G575" s="143"/>
      <c r="H575" s="4"/>
      <c r="I575" s="72"/>
      <c r="J575" s="4"/>
      <c r="K575" s="42"/>
      <c r="L575" s="4"/>
      <c r="M575" s="4"/>
      <c r="N575" s="4"/>
      <c r="O575" s="4"/>
      <c r="Y575" s="153"/>
      <c r="BI575" s="154"/>
      <c r="BJ575" s="20"/>
    </row>
    <row r="576" spans="1:62" s="19" customFormat="1" ht="18.75" customHeight="1" x14ac:dyDescent="0.2">
      <c r="A576" s="288" t="s">
        <v>573</v>
      </c>
      <c r="B576" s="285" t="s">
        <v>574</v>
      </c>
      <c r="C576" s="298" t="s">
        <v>230</v>
      </c>
      <c r="D576" s="15">
        <f>69.66*1.05</f>
        <v>73.14</v>
      </c>
      <c r="E576" s="16">
        <f>D576*20%</f>
        <v>14.63</v>
      </c>
      <c r="F576" s="164">
        <f>D576+E576</f>
        <v>87.77</v>
      </c>
      <c r="G576" s="143"/>
      <c r="H576" s="4"/>
      <c r="I576" s="72"/>
      <c r="J576" s="4"/>
      <c r="K576" s="42"/>
      <c r="L576" s="4"/>
      <c r="M576" s="4"/>
      <c r="N576" s="4"/>
      <c r="O576" s="4"/>
      <c r="Y576" s="153"/>
      <c r="BI576" s="154"/>
      <c r="BJ576" s="20"/>
    </row>
    <row r="577" spans="1:62" s="19" customFormat="1" ht="32.25" customHeight="1" x14ac:dyDescent="0.2">
      <c r="A577" s="288" t="s">
        <v>575</v>
      </c>
      <c r="B577" s="285" t="s">
        <v>576</v>
      </c>
      <c r="C577" s="298" t="s">
        <v>230</v>
      </c>
      <c r="D577" s="15">
        <f>58.84*1.05</f>
        <v>61.78</v>
      </c>
      <c r="E577" s="16">
        <f>D577*20%</f>
        <v>12.36</v>
      </c>
      <c r="F577" s="164">
        <f>D577+E577</f>
        <v>74.14</v>
      </c>
      <c r="G577" s="143"/>
      <c r="H577" s="4"/>
      <c r="I577" s="72"/>
      <c r="J577" s="4"/>
      <c r="K577" s="42"/>
      <c r="L577" s="4"/>
      <c r="M577" s="4"/>
      <c r="N577" s="4"/>
      <c r="O577" s="4"/>
      <c r="Y577" s="153"/>
      <c r="BI577" s="154"/>
      <c r="BJ577" s="20"/>
    </row>
    <row r="578" spans="1:62" s="19" customFormat="1" ht="23.25" customHeight="1" x14ac:dyDescent="0.2">
      <c r="A578" s="288" t="s">
        <v>577</v>
      </c>
      <c r="B578" s="285" t="s">
        <v>578</v>
      </c>
      <c r="C578" s="298" t="s">
        <v>230</v>
      </c>
      <c r="D578" s="15">
        <f>106.08*1.05</f>
        <v>111.38</v>
      </c>
      <c r="E578" s="16">
        <f>D578*20%</f>
        <v>22.28</v>
      </c>
      <c r="F578" s="164">
        <f>D578+E578</f>
        <v>133.66</v>
      </c>
      <c r="G578" s="143"/>
      <c r="H578" s="4"/>
      <c r="I578" s="72"/>
      <c r="J578" s="4"/>
      <c r="K578" s="42"/>
      <c r="L578" s="4"/>
      <c r="M578" s="4"/>
      <c r="N578" s="4"/>
      <c r="O578" s="4"/>
      <c r="Y578" s="153"/>
      <c r="BI578" s="154"/>
      <c r="BJ578" s="20"/>
    </row>
    <row r="579" spans="1:62" s="19" customFormat="1" ht="22.5" customHeight="1" x14ac:dyDescent="0.2">
      <c r="A579" s="288" t="s">
        <v>579</v>
      </c>
      <c r="B579" s="285" t="s">
        <v>580</v>
      </c>
      <c r="C579" s="298" t="s">
        <v>230</v>
      </c>
      <c r="D579" s="15">
        <f>103.91*1.05</f>
        <v>109.11</v>
      </c>
      <c r="E579" s="16">
        <f>D579*20%</f>
        <v>21.82</v>
      </c>
      <c r="F579" s="164">
        <f>D579+E579</f>
        <v>130.93</v>
      </c>
      <c r="G579" s="143"/>
      <c r="H579" s="4"/>
      <c r="I579" s="72"/>
      <c r="J579" s="4"/>
      <c r="K579" s="42"/>
      <c r="L579" s="4"/>
      <c r="M579" s="4"/>
      <c r="N579" s="4"/>
      <c r="O579" s="4"/>
      <c r="Y579" s="153"/>
      <c r="BI579" s="154"/>
      <c r="BJ579" s="20"/>
    </row>
    <row r="580" spans="1:62" s="19" customFormat="1" ht="21.75" customHeight="1" x14ac:dyDescent="0.2">
      <c r="A580" s="288" t="s">
        <v>581</v>
      </c>
      <c r="B580" s="285" t="s">
        <v>582</v>
      </c>
      <c r="C580" s="298" t="s">
        <v>230</v>
      </c>
      <c r="D580" s="15">
        <f>26.3*1.05</f>
        <v>27.62</v>
      </c>
      <c r="E580" s="16">
        <f>D580*20%</f>
        <v>5.52</v>
      </c>
      <c r="F580" s="164">
        <f>D580+E580</f>
        <v>33.14</v>
      </c>
      <c r="G580" s="143"/>
      <c r="H580" s="4"/>
      <c r="I580" s="72"/>
      <c r="J580" s="4"/>
      <c r="K580" s="42"/>
      <c r="L580" s="4"/>
      <c r="M580" s="4"/>
      <c r="N580" s="4"/>
      <c r="O580" s="4"/>
      <c r="Y580" s="153"/>
      <c r="BI580" s="154"/>
      <c r="BJ580" s="20"/>
    </row>
    <row r="581" spans="1:62" s="19" customFormat="1" ht="22.5" customHeight="1" x14ac:dyDescent="0.2">
      <c r="A581" s="179" t="s">
        <v>26</v>
      </c>
      <c r="B581" s="341" t="s">
        <v>583</v>
      </c>
      <c r="C581" s="341"/>
      <c r="D581" s="341"/>
      <c r="E581" s="341"/>
      <c r="F581" s="341"/>
      <c r="G581" s="143"/>
      <c r="H581" s="4"/>
      <c r="I581" s="72"/>
      <c r="J581" s="4"/>
      <c r="K581" s="42"/>
      <c r="L581" s="4"/>
      <c r="M581" s="4"/>
      <c r="N581" s="4"/>
      <c r="O581" s="4"/>
      <c r="Y581" s="153"/>
      <c r="BI581" s="154"/>
      <c r="BJ581" s="20"/>
    </row>
    <row r="582" spans="1:62" s="19" customFormat="1" ht="18.75" customHeight="1" x14ac:dyDescent="0.2">
      <c r="A582" s="180"/>
      <c r="B582" s="342" t="s">
        <v>535</v>
      </c>
      <c r="C582" s="342"/>
      <c r="D582" s="342"/>
      <c r="E582" s="342"/>
      <c r="F582" s="342"/>
      <c r="G582" s="143"/>
      <c r="H582" s="4"/>
      <c r="I582" s="72"/>
      <c r="J582" s="4"/>
      <c r="K582" s="42"/>
      <c r="L582" s="4"/>
      <c r="M582" s="4"/>
      <c r="N582" s="4"/>
      <c r="O582" s="4"/>
      <c r="Y582" s="153"/>
      <c r="BI582" s="154"/>
      <c r="BJ582" s="20"/>
    </row>
    <row r="583" spans="1:62" s="19" customFormat="1" ht="26.25" customHeight="1" x14ac:dyDescent="0.2">
      <c r="A583" s="288" t="s">
        <v>584</v>
      </c>
      <c r="B583" s="285" t="s">
        <v>585</v>
      </c>
      <c r="C583" s="298" t="s">
        <v>230</v>
      </c>
      <c r="D583" s="15">
        <f>88.97*1.05</f>
        <v>93.42</v>
      </c>
      <c r="E583" s="16">
        <f t="shared" ref="E583:E607" si="61">D583*20%</f>
        <v>18.68</v>
      </c>
      <c r="F583" s="164">
        <f t="shared" ref="F583:F606" si="62">D583+E583</f>
        <v>112.1</v>
      </c>
      <c r="G583" s="143"/>
      <c r="H583" s="4"/>
      <c r="I583" s="72"/>
      <c r="J583" s="4"/>
      <c r="K583" s="42"/>
      <c r="L583" s="4"/>
      <c r="M583" s="4"/>
      <c r="N583" s="4"/>
      <c r="O583" s="4"/>
      <c r="Y583" s="153"/>
      <c r="BI583" s="154"/>
      <c r="BJ583" s="20"/>
    </row>
    <row r="584" spans="1:62" s="19" customFormat="1" ht="21.75" customHeight="1" x14ac:dyDescent="0.2">
      <c r="A584" s="288" t="s">
        <v>586</v>
      </c>
      <c r="B584" s="285" t="s">
        <v>587</v>
      </c>
      <c r="C584" s="298" t="s">
        <v>230</v>
      </c>
      <c r="D584" s="15">
        <f>72.42*1.05</f>
        <v>76.040000000000006</v>
      </c>
      <c r="E584" s="16">
        <f t="shared" si="61"/>
        <v>15.21</v>
      </c>
      <c r="F584" s="164">
        <f t="shared" si="62"/>
        <v>91.25</v>
      </c>
      <c r="G584" s="143"/>
      <c r="H584" s="4"/>
      <c r="I584" s="72"/>
      <c r="J584" s="4"/>
      <c r="K584" s="42"/>
      <c r="L584" s="4"/>
      <c r="M584" s="4"/>
      <c r="N584" s="4"/>
      <c r="O584" s="4"/>
      <c r="Y584" s="153"/>
      <c r="BI584" s="154"/>
      <c r="BJ584" s="20"/>
    </row>
    <row r="585" spans="1:62" s="19" customFormat="1" ht="21.75" customHeight="1" x14ac:dyDescent="0.2">
      <c r="A585" s="288" t="s">
        <v>588</v>
      </c>
      <c r="B585" s="285" t="s">
        <v>589</v>
      </c>
      <c r="C585" s="298" t="s">
        <v>230</v>
      </c>
      <c r="D585" s="15">
        <f>54.3*1.05</f>
        <v>57.02</v>
      </c>
      <c r="E585" s="16">
        <f t="shared" si="61"/>
        <v>11.4</v>
      </c>
      <c r="F585" s="164">
        <f t="shared" si="62"/>
        <v>68.42</v>
      </c>
      <c r="G585" s="143"/>
      <c r="H585" s="4"/>
      <c r="I585" s="72"/>
      <c r="J585" s="4"/>
      <c r="K585" s="42"/>
      <c r="L585" s="4"/>
      <c r="M585" s="4"/>
      <c r="N585" s="4"/>
      <c r="O585" s="4"/>
      <c r="Y585" s="153"/>
      <c r="BI585" s="154"/>
      <c r="BJ585" s="20"/>
    </row>
    <row r="586" spans="1:62" s="19" customFormat="1" ht="21" customHeight="1" x14ac:dyDescent="0.2">
      <c r="A586" s="288" t="s">
        <v>590</v>
      </c>
      <c r="B586" s="285" t="s">
        <v>591</v>
      </c>
      <c r="C586" s="298" t="s">
        <v>230</v>
      </c>
      <c r="D586" s="15">
        <f>99.75*1.05</f>
        <v>104.74</v>
      </c>
      <c r="E586" s="16">
        <f t="shared" si="61"/>
        <v>20.95</v>
      </c>
      <c r="F586" s="164">
        <f t="shared" si="62"/>
        <v>125.69</v>
      </c>
      <c r="G586" s="143"/>
      <c r="H586" s="4"/>
      <c r="I586" s="72"/>
      <c r="J586" s="4"/>
      <c r="K586" s="42"/>
      <c r="L586" s="4"/>
      <c r="M586" s="4"/>
      <c r="N586" s="4"/>
      <c r="O586" s="4"/>
      <c r="Y586" s="153"/>
      <c r="BI586" s="154"/>
      <c r="BJ586" s="20"/>
    </row>
    <row r="587" spans="1:62" s="19" customFormat="1" ht="19.5" customHeight="1" x14ac:dyDescent="0.2">
      <c r="A587" s="288" t="s">
        <v>592</v>
      </c>
      <c r="B587" s="285" t="s">
        <v>593</v>
      </c>
      <c r="C587" s="298" t="s">
        <v>230</v>
      </c>
      <c r="D587" s="15">
        <f>29.16*1.05</f>
        <v>30.62</v>
      </c>
      <c r="E587" s="16">
        <f t="shared" si="61"/>
        <v>6.12</v>
      </c>
      <c r="F587" s="164">
        <f>D587+E587</f>
        <v>36.74</v>
      </c>
      <c r="G587" s="143"/>
      <c r="H587" s="4"/>
      <c r="I587" s="72"/>
      <c r="J587" s="4"/>
      <c r="K587" s="42"/>
      <c r="L587" s="4"/>
      <c r="M587" s="4"/>
      <c r="N587" s="4"/>
      <c r="O587" s="4"/>
      <c r="Y587" s="153"/>
      <c r="BI587" s="154"/>
      <c r="BJ587" s="20"/>
    </row>
    <row r="588" spans="1:62" s="19" customFormat="1" ht="20.25" customHeight="1" x14ac:dyDescent="0.2">
      <c r="A588" s="288" t="s">
        <v>594</v>
      </c>
      <c r="B588" s="285" t="s">
        <v>595</v>
      </c>
      <c r="C588" s="298" t="s">
        <v>230</v>
      </c>
      <c r="D588" s="15">
        <f>35.36*1.05</f>
        <v>37.130000000000003</v>
      </c>
      <c r="E588" s="16">
        <f t="shared" si="61"/>
        <v>7.43</v>
      </c>
      <c r="F588" s="164">
        <f t="shared" si="62"/>
        <v>44.56</v>
      </c>
      <c r="G588" s="143"/>
      <c r="H588" s="4"/>
      <c r="I588" s="72"/>
      <c r="J588" s="4"/>
      <c r="K588" s="42"/>
      <c r="L588" s="4"/>
      <c r="M588" s="4"/>
      <c r="N588" s="4"/>
      <c r="O588" s="4"/>
      <c r="Y588" s="153"/>
      <c r="BI588" s="154"/>
      <c r="BJ588" s="20"/>
    </row>
    <row r="589" spans="1:62" s="19" customFormat="1" ht="28.5" customHeight="1" x14ac:dyDescent="0.2">
      <c r="A589" s="288" t="s">
        <v>596</v>
      </c>
      <c r="B589" s="285" t="s">
        <v>597</v>
      </c>
      <c r="C589" s="298" t="s">
        <v>230</v>
      </c>
      <c r="D589" s="15">
        <f>130.89*1.05</f>
        <v>137.43</v>
      </c>
      <c r="E589" s="16">
        <f t="shared" si="61"/>
        <v>27.49</v>
      </c>
      <c r="F589" s="164">
        <f>D589+E589</f>
        <v>164.92</v>
      </c>
      <c r="G589" s="143"/>
      <c r="H589" s="4"/>
      <c r="I589" s="72"/>
      <c r="J589" s="4"/>
      <c r="K589" s="42"/>
      <c r="L589" s="4"/>
      <c r="M589" s="4"/>
      <c r="N589" s="4"/>
      <c r="O589" s="4"/>
      <c r="Y589" s="153"/>
      <c r="BI589" s="154"/>
      <c r="BJ589" s="20"/>
    </row>
    <row r="590" spans="1:62" s="19" customFormat="1" ht="30.75" customHeight="1" x14ac:dyDescent="0.2">
      <c r="A590" s="288" t="s">
        <v>598</v>
      </c>
      <c r="B590" s="285" t="s">
        <v>599</v>
      </c>
      <c r="C590" s="298" t="s">
        <v>230</v>
      </c>
      <c r="D590" s="15">
        <f>95.27*1.05</f>
        <v>100.03</v>
      </c>
      <c r="E590" s="16">
        <f t="shared" si="61"/>
        <v>20.010000000000002</v>
      </c>
      <c r="F590" s="164">
        <f t="shared" si="62"/>
        <v>120.04</v>
      </c>
      <c r="G590" s="143"/>
      <c r="H590" s="4"/>
      <c r="I590" s="72"/>
      <c r="J590" s="4"/>
      <c r="K590" s="42"/>
      <c r="L590" s="4"/>
      <c r="M590" s="4"/>
      <c r="N590" s="4"/>
      <c r="O590" s="4"/>
      <c r="Y590" s="153"/>
      <c r="BI590" s="154"/>
      <c r="BJ590" s="20"/>
    </row>
    <row r="591" spans="1:62" s="19" customFormat="1" ht="22.5" customHeight="1" x14ac:dyDescent="0.2">
      <c r="A591" s="288" t="s">
        <v>600</v>
      </c>
      <c r="B591" s="285" t="s">
        <v>601</v>
      </c>
      <c r="C591" s="298" t="s">
        <v>230</v>
      </c>
      <c r="D591" s="15">
        <f>72.18*1.05</f>
        <v>75.790000000000006</v>
      </c>
      <c r="E591" s="16">
        <f t="shared" si="61"/>
        <v>15.16</v>
      </c>
      <c r="F591" s="164">
        <f t="shared" si="62"/>
        <v>90.95</v>
      </c>
      <c r="G591" s="143"/>
      <c r="H591" s="4"/>
      <c r="I591" s="72"/>
      <c r="J591" s="4"/>
      <c r="K591" s="42"/>
      <c r="L591" s="4"/>
      <c r="M591" s="4"/>
      <c r="N591" s="4"/>
      <c r="O591" s="4"/>
      <c r="Y591" s="153"/>
      <c r="BI591" s="154"/>
      <c r="BJ591" s="20"/>
    </row>
    <row r="592" spans="1:62" s="19" customFormat="1" ht="34.5" customHeight="1" x14ac:dyDescent="0.2">
      <c r="A592" s="288" t="s">
        <v>602</v>
      </c>
      <c r="B592" s="285" t="s">
        <v>603</v>
      </c>
      <c r="C592" s="298" t="s">
        <v>230</v>
      </c>
      <c r="D592" s="15">
        <f>79.32*1.05</f>
        <v>83.29</v>
      </c>
      <c r="E592" s="16">
        <f t="shared" si="61"/>
        <v>16.66</v>
      </c>
      <c r="F592" s="164">
        <f t="shared" si="62"/>
        <v>99.95</v>
      </c>
      <c r="G592" s="143"/>
      <c r="H592" s="4"/>
      <c r="I592" s="72"/>
      <c r="J592" s="4"/>
      <c r="K592" s="42"/>
      <c r="L592" s="4"/>
      <c r="M592" s="4"/>
      <c r="N592" s="4"/>
      <c r="O592" s="4"/>
      <c r="Y592" s="153"/>
      <c r="BI592" s="154"/>
      <c r="BJ592" s="20"/>
    </row>
    <row r="593" spans="1:62" s="19" customFormat="1" ht="30.75" customHeight="1" x14ac:dyDescent="0.2">
      <c r="A593" s="288" t="s">
        <v>604</v>
      </c>
      <c r="B593" s="285" t="s">
        <v>605</v>
      </c>
      <c r="C593" s="298" t="s">
        <v>230</v>
      </c>
      <c r="D593" s="15">
        <f>78.26*1.05</f>
        <v>82.17</v>
      </c>
      <c r="E593" s="16">
        <f t="shared" si="61"/>
        <v>16.43</v>
      </c>
      <c r="F593" s="164">
        <f t="shared" si="62"/>
        <v>98.6</v>
      </c>
      <c r="G593" s="143"/>
      <c r="H593" s="4"/>
      <c r="I593" s="72"/>
      <c r="J593" s="4"/>
      <c r="K593" s="42"/>
      <c r="L593" s="4"/>
      <c r="M593" s="4"/>
      <c r="N593" s="4"/>
      <c r="O593" s="4"/>
      <c r="Y593" s="153"/>
      <c r="BI593" s="154"/>
      <c r="BJ593" s="20"/>
    </row>
    <row r="594" spans="1:62" s="19" customFormat="1" ht="30.75" customHeight="1" x14ac:dyDescent="0.2">
      <c r="A594" s="288" t="s">
        <v>606</v>
      </c>
      <c r="B594" s="285" t="s">
        <v>607</v>
      </c>
      <c r="C594" s="298" t="s">
        <v>230</v>
      </c>
      <c r="D594" s="15">
        <f>32.27*1.05</f>
        <v>33.880000000000003</v>
      </c>
      <c r="E594" s="16">
        <f t="shared" si="61"/>
        <v>6.78</v>
      </c>
      <c r="F594" s="164">
        <f t="shared" si="62"/>
        <v>40.659999999999997</v>
      </c>
      <c r="G594" s="143"/>
      <c r="H594" s="4"/>
      <c r="I594" s="72"/>
      <c r="J594" s="4"/>
      <c r="K594" s="42"/>
      <c r="L594" s="4"/>
      <c r="M594" s="4"/>
      <c r="N594" s="4"/>
      <c r="O594" s="4"/>
      <c r="Y594" s="153"/>
      <c r="BI594" s="154"/>
      <c r="BJ594" s="20"/>
    </row>
    <row r="595" spans="1:62" s="19" customFormat="1" ht="35.25" customHeight="1" x14ac:dyDescent="0.2">
      <c r="A595" s="288" t="s">
        <v>608</v>
      </c>
      <c r="B595" s="285" t="s">
        <v>609</v>
      </c>
      <c r="C595" s="298" t="s">
        <v>230</v>
      </c>
      <c r="D595" s="15">
        <f>23.41*1.05</f>
        <v>24.58</v>
      </c>
      <c r="E595" s="16">
        <f t="shared" si="61"/>
        <v>4.92</v>
      </c>
      <c r="F595" s="164">
        <f t="shared" si="62"/>
        <v>29.5</v>
      </c>
      <c r="G595" s="143"/>
      <c r="H595" s="4"/>
      <c r="I595" s="72"/>
      <c r="J595" s="4"/>
      <c r="K595" s="42"/>
      <c r="L595" s="4"/>
      <c r="M595" s="4"/>
      <c r="N595" s="4"/>
      <c r="O595" s="4"/>
      <c r="Y595" s="153"/>
      <c r="BI595" s="154"/>
      <c r="BJ595" s="20"/>
    </row>
    <row r="596" spans="1:62" s="19" customFormat="1" ht="26.25" customHeight="1" x14ac:dyDescent="0.2">
      <c r="A596" s="288" t="s">
        <v>610</v>
      </c>
      <c r="B596" s="285" t="s">
        <v>611</v>
      </c>
      <c r="C596" s="298" t="s">
        <v>230</v>
      </c>
      <c r="D596" s="15">
        <f>86.35*1.05</f>
        <v>90.67</v>
      </c>
      <c r="E596" s="16">
        <f t="shared" si="61"/>
        <v>18.13</v>
      </c>
      <c r="F596" s="164">
        <f t="shared" si="62"/>
        <v>108.8</v>
      </c>
      <c r="G596" s="143"/>
      <c r="H596" s="4"/>
      <c r="I596" s="72"/>
      <c r="J596" s="4"/>
      <c r="K596" s="42"/>
      <c r="L596" s="4"/>
      <c r="M596" s="4"/>
      <c r="N596" s="4"/>
      <c r="O596" s="4"/>
      <c r="Y596" s="153"/>
      <c r="BI596" s="154"/>
      <c r="BJ596" s="20"/>
    </row>
    <row r="597" spans="1:62" s="19" customFormat="1" ht="24.75" customHeight="1" x14ac:dyDescent="0.2">
      <c r="A597" s="288" t="s">
        <v>612</v>
      </c>
      <c r="B597" s="285" t="s">
        <v>551</v>
      </c>
      <c r="C597" s="298" t="s">
        <v>230</v>
      </c>
      <c r="D597" s="15">
        <f>85.24*1.05</f>
        <v>89.5</v>
      </c>
      <c r="E597" s="16">
        <f t="shared" si="61"/>
        <v>17.899999999999999</v>
      </c>
      <c r="F597" s="164">
        <f t="shared" si="62"/>
        <v>107.4</v>
      </c>
      <c r="G597" s="143"/>
      <c r="H597" s="4"/>
      <c r="I597" s="72"/>
      <c r="J597" s="4"/>
      <c r="K597" s="42"/>
      <c r="L597" s="4"/>
      <c r="M597" s="4"/>
      <c r="N597" s="4"/>
      <c r="O597" s="4"/>
      <c r="Y597" s="153"/>
      <c r="BI597" s="154"/>
      <c r="BJ597" s="20"/>
    </row>
    <row r="598" spans="1:62" s="19" customFormat="1" ht="29.25" customHeight="1" x14ac:dyDescent="0.2">
      <c r="A598" s="288" t="s">
        <v>613</v>
      </c>
      <c r="B598" s="285" t="s">
        <v>614</v>
      </c>
      <c r="C598" s="298" t="s">
        <v>230</v>
      </c>
      <c r="D598" s="15">
        <f>52.42*1.05</f>
        <v>55.04</v>
      </c>
      <c r="E598" s="16">
        <f t="shared" si="61"/>
        <v>11.01</v>
      </c>
      <c r="F598" s="164">
        <f t="shared" si="62"/>
        <v>66.05</v>
      </c>
      <c r="G598" s="143"/>
      <c r="H598" s="4"/>
      <c r="I598" s="72"/>
      <c r="J598" s="4"/>
      <c r="K598" s="42"/>
      <c r="L598" s="4"/>
      <c r="M598" s="4"/>
      <c r="N598" s="4"/>
      <c r="O598" s="4"/>
      <c r="Y598" s="153"/>
      <c r="BI598" s="154"/>
      <c r="BJ598" s="20"/>
    </row>
    <row r="599" spans="1:62" s="19" customFormat="1" ht="26.25" customHeight="1" x14ac:dyDescent="0.2">
      <c r="A599" s="288" t="s">
        <v>615</v>
      </c>
      <c r="B599" s="285" t="s">
        <v>616</v>
      </c>
      <c r="C599" s="298" t="s">
        <v>230</v>
      </c>
      <c r="D599" s="15">
        <f>50.73*1.05</f>
        <v>53.27</v>
      </c>
      <c r="E599" s="16">
        <f t="shared" si="61"/>
        <v>10.65</v>
      </c>
      <c r="F599" s="164">
        <f t="shared" si="62"/>
        <v>63.92</v>
      </c>
      <c r="G599" s="143"/>
      <c r="H599" s="4"/>
      <c r="I599" s="72"/>
      <c r="J599" s="4"/>
      <c r="K599" s="42"/>
      <c r="L599" s="4"/>
      <c r="M599" s="4"/>
      <c r="N599" s="4"/>
      <c r="O599" s="4"/>
      <c r="Y599" s="153"/>
      <c r="BI599" s="154"/>
      <c r="BJ599" s="20"/>
    </row>
    <row r="600" spans="1:62" s="19" customFormat="1" ht="36" customHeight="1" x14ac:dyDescent="0.2">
      <c r="A600" s="288" t="s">
        <v>617</v>
      </c>
      <c r="B600" s="285" t="s">
        <v>618</v>
      </c>
      <c r="C600" s="298" t="s">
        <v>230</v>
      </c>
      <c r="D600" s="15">
        <f>27.03*1.05</f>
        <v>28.38</v>
      </c>
      <c r="E600" s="16">
        <f t="shared" si="61"/>
        <v>5.68</v>
      </c>
      <c r="F600" s="164">
        <f t="shared" si="62"/>
        <v>34.06</v>
      </c>
      <c r="G600" s="143"/>
      <c r="H600" s="4"/>
      <c r="I600" s="72"/>
      <c r="J600" s="4"/>
      <c r="K600" s="42"/>
      <c r="L600" s="4"/>
      <c r="M600" s="4"/>
      <c r="N600" s="4"/>
      <c r="O600" s="4"/>
      <c r="Y600" s="153"/>
      <c r="BI600" s="154"/>
      <c r="BJ600" s="20"/>
    </row>
    <row r="601" spans="1:62" s="19" customFormat="1" ht="28.5" customHeight="1" x14ac:dyDescent="0.2">
      <c r="A601" s="288" t="s">
        <v>619</v>
      </c>
      <c r="B601" s="285" t="s">
        <v>620</v>
      </c>
      <c r="C601" s="298" t="s">
        <v>230</v>
      </c>
      <c r="D601" s="15">
        <f>26.3*1.05</f>
        <v>27.62</v>
      </c>
      <c r="E601" s="16">
        <f t="shared" si="61"/>
        <v>5.52</v>
      </c>
      <c r="F601" s="164">
        <f t="shared" si="62"/>
        <v>33.14</v>
      </c>
      <c r="G601" s="143"/>
      <c r="H601" s="4"/>
      <c r="I601" s="72"/>
      <c r="J601" s="4"/>
      <c r="K601" s="42"/>
      <c r="L601" s="4"/>
      <c r="M601" s="4"/>
      <c r="N601" s="4"/>
      <c r="O601" s="4"/>
      <c r="Y601" s="153"/>
      <c r="BI601" s="154"/>
      <c r="BJ601" s="20"/>
    </row>
    <row r="602" spans="1:62" s="19" customFormat="1" ht="29.25" customHeight="1" x14ac:dyDescent="0.2">
      <c r="A602" s="288" t="s">
        <v>621</v>
      </c>
      <c r="B602" s="300" t="s">
        <v>622</v>
      </c>
      <c r="C602" s="298" t="s">
        <v>230</v>
      </c>
      <c r="D602" s="15">
        <f>118.9*1.05</f>
        <v>124.85</v>
      </c>
      <c r="E602" s="16">
        <f t="shared" si="61"/>
        <v>24.97</v>
      </c>
      <c r="F602" s="164">
        <f t="shared" si="62"/>
        <v>149.82</v>
      </c>
      <c r="G602" s="143"/>
      <c r="H602" s="4"/>
      <c r="I602" s="72"/>
      <c r="J602" s="4"/>
      <c r="K602" s="42"/>
      <c r="L602" s="4"/>
      <c r="M602" s="4"/>
      <c r="N602" s="4"/>
      <c r="O602" s="4"/>
      <c r="Y602" s="153"/>
      <c r="BI602" s="154"/>
      <c r="BJ602" s="20"/>
    </row>
    <row r="603" spans="1:62" s="19" customFormat="1" ht="25.5" customHeight="1" x14ac:dyDescent="0.2">
      <c r="A603" s="288" t="s">
        <v>623</v>
      </c>
      <c r="B603" s="300" t="s">
        <v>624</v>
      </c>
      <c r="C603" s="298" t="s">
        <v>230</v>
      </c>
      <c r="D603" s="15">
        <f>245.5*1.05</f>
        <v>257.77999999999997</v>
      </c>
      <c r="E603" s="16">
        <f t="shared" si="61"/>
        <v>51.56</v>
      </c>
      <c r="F603" s="164">
        <f t="shared" si="62"/>
        <v>309.33999999999997</v>
      </c>
      <c r="G603" s="143"/>
      <c r="H603" s="4"/>
      <c r="I603" s="72"/>
      <c r="J603" s="4"/>
      <c r="K603" s="42"/>
      <c r="L603" s="4"/>
      <c r="M603" s="4"/>
      <c r="N603" s="4"/>
      <c r="O603" s="4"/>
      <c r="Y603" s="153"/>
      <c r="BI603" s="154"/>
      <c r="BJ603" s="20"/>
    </row>
    <row r="604" spans="1:62" s="19" customFormat="1" ht="23.25" customHeight="1" x14ac:dyDescent="0.2">
      <c r="A604" s="288" t="s">
        <v>625</v>
      </c>
      <c r="B604" s="285" t="s">
        <v>626</v>
      </c>
      <c r="C604" s="298" t="s">
        <v>230</v>
      </c>
      <c r="D604" s="15">
        <f>141.4*1.05</f>
        <v>148.47</v>
      </c>
      <c r="E604" s="16">
        <f t="shared" si="61"/>
        <v>29.69</v>
      </c>
      <c r="F604" s="164">
        <f t="shared" si="62"/>
        <v>178.16</v>
      </c>
      <c r="G604" s="143"/>
      <c r="H604" s="4"/>
      <c r="I604" s="72"/>
      <c r="J604" s="4"/>
      <c r="K604" s="42"/>
      <c r="L604" s="4"/>
      <c r="M604" s="4"/>
      <c r="N604" s="4"/>
      <c r="O604" s="4"/>
      <c r="Y604" s="153"/>
      <c r="BI604" s="154"/>
      <c r="BJ604" s="20"/>
    </row>
    <row r="605" spans="1:62" s="19" customFormat="1" ht="30.75" customHeight="1" x14ac:dyDescent="0.2">
      <c r="A605" s="288" t="s">
        <v>627</v>
      </c>
      <c r="B605" s="285" t="s">
        <v>628</v>
      </c>
      <c r="C605" s="298" t="s">
        <v>230</v>
      </c>
      <c r="D605" s="15">
        <f>32.27*1.05</f>
        <v>33.880000000000003</v>
      </c>
      <c r="E605" s="16">
        <f t="shared" si="61"/>
        <v>6.78</v>
      </c>
      <c r="F605" s="164">
        <f t="shared" si="62"/>
        <v>40.659999999999997</v>
      </c>
      <c r="G605" s="143"/>
      <c r="H605" s="4"/>
      <c r="I605" s="72"/>
      <c r="J605" s="4"/>
      <c r="K605" s="42"/>
      <c r="L605" s="4"/>
      <c r="M605" s="4"/>
      <c r="N605" s="4"/>
      <c r="O605" s="4"/>
      <c r="Y605" s="153"/>
      <c r="BI605" s="154"/>
      <c r="BJ605" s="20"/>
    </row>
    <row r="606" spans="1:62" s="19" customFormat="1" ht="46.5" customHeight="1" x14ac:dyDescent="0.2">
      <c r="A606" s="288" t="s">
        <v>629</v>
      </c>
      <c r="B606" s="279" t="s">
        <v>570</v>
      </c>
      <c r="C606" s="298" t="s">
        <v>230</v>
      </c>
      <c r="D606" s="15">
        <f>76.15*1.05</f>
        <v>79.959999999999994</v>
      </c>
      <c r="E606" s="16">
        <f t="shared" si="61"/>
        <v>15.99</v>
      </c>
      <c r="F606" s="164">
        <f t="shared" si="62"/>
        <v>95.95</v>
      </c>
      <c r="G606" s="143"/>
      <c r="H606" s="4"/>
      <c r="I606" s="72"/>
      <c r="J606" s="4"/>
      <c r="K606" s="42"/>
      <c r="L606" s="4"/>
      <c r="M606" s="4"/>
      <c r="N606" s="4"/>
      <c r="O606" s="4"/>
      <c r="Y606" s="153"/>
      <c r="BI606" s="154"/>
      <c r="BJ606" s="20"/>
    </row>
    <row r="607" spans="1:62" s="19" customFormat="1" ht="46.5" customHeight="1" x14ac:dyDescent="0.2">
      <c r="A607" s="288" t="s">
        <v>630</v>
      </c>
      <c r="B607" s="285" t="s">
        <v>631</v>
      </c>
      <c r="C607" s="298" t="s">
        <v>230</v>
      </c>
      <c r="D607" s="15">
        <f>235.34*1.05</f>
        <v>247.11</v>
      </c>
      <c r="E607" s="16">
        <f t="shared" si="61"/>
        <v>49.42</v>
      </c>
      <c r="F607" s="164">
        <f>D607+E607</f>
        <v>296.52999999999997</v>
      </c>
      <c r="G607" s="143"/>
      <c r="H607" s="4"/>
      <c r="I607" s="72"/>
      <c r="J607" s="4"/>
      <c r="K607" s="42"/>
      <c r="L607" s="4"/>
      <c r="M607" s="4"/>
      <c r="N607" s="4"/>
      <c r="O607" s="4"/>
      <c r="Y607" s="153"/>
      <c r="BI607" s="154"/>
      <c r="BJ607" s="20"/>
    </row>
    <row r="608" spans="1:62" s="19" customFormat="1" ht="21" customHeight="1" x14ac:dyDescent="0.2">
      <c r="A608" s="278" t="s">
        <v>28</v>
      </c>
      <c r="B608" s="312" t="s">
        <v>632</v>
      </c>
      <c r="C608" s="312"/>
      <c r="D608" s="312"/>
      <c r="E608" s="312"/>
      <c r="F608" s="312"/>
      <c r="G608" s="143"/>
      <c r="H608" s="4"/>
      <c r="I608" s="72"/>
      <c r="J608" s="4"/>
      <c r="K608" s="42"/>
      <c r="L608" s="4"/>
      <c r="M608" s="4"/>
      <c r="N608" s="4"/>
      <c r="O608" s="4"/>
      <c r="Y608" s="153"/>
      <c r="BI608" s="154"/>
      <c r="BJ608" s="20"/>
    </row>
    <row r="609" spans="1:62" s="19" customFormat="1" ht="46.5" customHeight="1" x14ac:dyDescent="0.2">
      <c r="A609" s="288" t="s">
        <v>633</v>
      </c>
      <c r="B609" s="279" t="s">
        <v>570</v>
      </c>
      <c r="C609" s="298" t="s">
        <v>230</v>
      </c>
      <c r="D609" s="15">
        <f>76.15*1.05</f>
        <v>79.959999999999994</v>
      </c>
      <c r="E609" s="16">
        <f>D609*20%</f>
        <v>15.99</v>
      </c>
      <c r="F609" s="164">
        <f>D609+E609</f>
        <v>95.95</v>
      </c>
      <c r="G609" s="143"/>
      <c r="H609" s="4"/>
      <c r="I609" s="72"/>
      <c r="J609" s="4"/>
      <c r="K609" s="42"/>
      <c r="L609" s="4"/>
      <c r="M609" s="4"/>
      <c r="N609" s="4"/>
      <c r="O609" s="4"/>
      <c r="Y609" s="153"/>
      <c r="BI609" s="154"/>
      <c r="BJ609" s="20"/>
    </row>
    <row r="610" spans="1:62" s="19" customFormat="1" ht="21.75" customHeight="1" x14ac:dyDescent="0.2">
      <c r="A610" s="288" t="s">
        <v>634</v>
      </c>
      <c r="B610" s="285" t="s">
        <v>526</v>
      </c>
      <c r="C610" s="298" t="s">
        <v>230</v>
      </c>
      <c r="D610" s="15">
        <f>36.4*1.05</f>
        <v>38.22</v>
      </c>
      <c r="E610" s="16">
        <f>D610*20%</f>
        <v>7.64</v>
      </c>
      <c r="F610" s="164">
        <f>D610+E610</f>
        <v>45.86</v>
      </c>
      <c r="G610" s="143"/>
      <c r="H610" s="4"/>
      <c r="I610" s="72"/>
      <c r="J610" s="4"/>
      <c r="K610" s="42"/>
      <c r="L610" s="4"/>
      <c r="M610" s="4"/>
      <c r="N610" s="4"/>
      <c r="O610" s="4"/>
      <c r="Y610" s="153"/>
      <c r="BI610" s="154"/>
      <c r="BJ610" s="20"/>
    </row>
    <row r="611" spans="1:62" s="19" customFormat="1" ht="32.25" customHeight="1" x14ac:dyDescent="0.2">
      <c r="A611" s="288" t="s">
        <v>635</v>
      </c>
      <c r="B611" s="285" t="s">
        <v>636</v>
      </c>
      <c r="C611" s="298" t="s">
        <v>230</v>
      </c>
      <c r="D611" s="15">
        <f>44.42*1.05</f>
        <v>46.64</v>
      </c>
      <c r="E611" s="16">
        <f>D611*20%</f>
        <v>9.33</v>
      </c>
      <c r="F611" s="164">
        <f>D611+E611</f>
        <v>55.97</v>
      </c>
      <c r="G611" s="143"/>
      <c r="H611" s="4"/>
      <c r="I611" s="72"/>
      <c r="J611" s="4"/>
      <c r="K611" s="42"/>
      <c r="L611" s="4"/>
      <c r="M611" s="4"/>
      <c r="N611" s="4"/>
      <c r="O611" s="4"/>
      <c r="Y611" s="153"/>
      <c r="BI611" s="154"/>
      <c r="BJ611" s="20"/>
    </row>
    <row r="612" spans="1:62" s="19" customFormat="1" ht="24" customHeight="1" x14ac:dyDescent="0.2">
      <c r="A612" s="288" t="s">
        <v>637</v>
      </c>
      <c r="B612" s="285" t="s">
        <v>638</v>
      </c>
      <c r="C612" s="298" t="s">
        <v>230</v>
      </c>
      <c r="D612" s="15">
        <f>41.23*1.05</f>
        <v>43.29</v>
      </c>
      <c r="E612" s="16">
        <f>D612*20%</f>
        <v>8.66</v>
      </c>
      <c r="F612" s="164">
        <f>D612+E612</f>
        <v>51.95</v>
      </c>
      <c r="G612" s="143"/>
      <c r="H612" s="4"/>
      <c r="I612" s="72"/>
      <c r="J612" s="4"/>
      <c r="K612" s="42"/>
      <c r="L612" s="4"/>
      <c r="M612" s="4"/>
      <c r="N612" s="4"/>
      <c r="O612" s="4"/>
      <c r="Y612" s="153"/>
      <c r="BI612" s="154"/>
      <c r="BJ612" s="20"/>
    </row>
    <row r="613" spans="1:62" s="19" customFormat="1" ht="20.25" customHeight="1" x14ac:dyDescent="0.2">
      <c r="A613" s="288"/>
      <c r="B613" s="313" t="s">
        <v>535</v>
      </c>
      <c r="C613" s="313"/>
      <c r="D613" s="313"/>
      <c r="E613" s="313"/>
      <c r="F613" s="313"/>
      <c r="G613" s="143"/>
      <c r="H613" s="4"/>
      <c r="I613" s="72"/>
      <c r="J613" s="4"/>
      <c r="K613" s="42"/>
      <c r="L613" s="4"/>
      <c r="M613" s="4"/>
      <c r="N613" s="4"/>
      <c r="O613" s="4"/>
      <c r="Y613" s="153"/>
      <c r="BI613" s="154"/>
      <c r="BJ613" s="20"/>
    </row>
    <row r="614" spans="1:62" s="19" customFormat="1" ht="21" customHeight="1" x14ac:dyDescent="0.2">
      <c r="A614" s="288" t="s">
        <v>639</v>
      </c>
      <c r="B614" s="285" t="s">
        <v>585</v>
      </c>
      <c r="C614" s="298" t="s">
        <v>230</v>
      </c>
      <c r="D614" s="15">
        <f>106.08*1.05</f>
        <v>111.38</v>
      </c>
      <c r="E614" s="16">
        <f>D614*20%</f>
        <v>22.28</v>
      </c>
      <c r="F614" s="164">
        <f>D614+E614</f>
        <v>133.66</v>
      </c>
      <c r="G614" s="143"/>
      <c r="H614" s="4"/>
      <c r="I614" s="72"/>
      <c r="J614" s="4"/>
      <c r="K614" s="42"/>
      <c r="L614" s="4"/>
      <c r="M614" s="4"/>
      <c r="N614" s="4"/>
      <c r="O614" s="4"/>
      <c r="Y614" s="153"/>
      <c r="BI614" s="154"/>
      <c r="BJ614" s="20"/>
    </row>
    <row r="615" spans="1:62" s="19" customFormat="1" ht="18" customHeight="1" x14ac:dyDescent="0.2">
      <c r="A615" s="288" t="s">
        <v>640</v>
      </c>
      <c r="B615" s="285" t="s">
        <v>587</v>
      </c>
      <c r="C615" s="298" t="s">
        <v>230</v>
      </c>
      <c r="D615" s="15">
        <f>58.22*1.05</f>
        <v>61.13</v>
      </c>
      <c r="E615" s="16">
        <f>D615*20%</f>
        <v>12.23</v>
      </c>
      <c r="F615" s="164">
        <f>D615+E615</f>
        <v>73.36</v>
      </c>
      <c r="G615" s="143"/>
      <c r="H615" s="4"/>
      <c r="I615" s="72"/>
      <c r="J615" s="4"/>
      <c r="K615" s="42"/>
      <c r="L615" s="4"/>
      <c r="M615" s="4"/>
      <c r="N615" s="4"/>
      <c r="O615" s="4"/>
      <c r="Y615" s="153"/>
      <c r="BI615" s="154"/>
      <c r="BJ615" s="20"/>
    </row>
    <row r="616" spans="1:62" s="19" customFormat="1" ht="20.25" customHeight="1" x14ac:dyDescent="0.2">
      <c r="A616" s="288" t="s">
        <v>641</v>
      </c>
      <c r="B616" s="285" t="s">
        <v>589</v>
      </c>
      <c r="C616" s="298" t="s">
        <v>230</v>
      </c>
      <c r="D616" s="15">
        <f>54.3*1.05</f>
        <v>57.02</v>
      </c>
      <c r="E616" s="16">
        <f>D616*20%</f>
        <v>11.4</v>
      </c>
      <c r="F616" s="164">
        <f>D616+E616</f>
        <v>68.42</v>
      </c>
      <c r="G616" s="143"/>
      <c r="H616" s="4"/>
      <c r="I616" s="72"/>
      <c r="J616" s="4"/>
      <c r="K616" s="42"/>
      <c r="L616" s="4"/>
      <c r="M616" s="4"/>
      <c r="N616" s="4"/>
      <c r="O616" s="4"/>
      <c r="Y616" s="153"/>
      <c r="BI616" s="154"/>
      <c r="BJ616" s="20"/>
    </row>
    <row r="617" spans="1:62" s="19" customFormat="1" ht="27.75" customHeight="1" x14ac:dyDescent="0.2">
      <c r="A617" s="288" t="s">
        <v>642</v>
      </c>
      <c r="B617" s="181" t="s">
        <v>643</v>
      </c>
      <c r="C617" s="298" t="s">
        <v>230</v>
      </c>
      <c r="D617" s="15">
        <f>227.78*1.05</f>
        <v>239.17</v>
      </c>
      <c r="E617" s="16">
        <f>D617*20%</f>
        <v>47.83</v>
      </c>
      <c r="F617" s="164">
        <f>D617+E617</f>
        <v>287</v>
      </c>
      <c r="G617" s="143"/>
      <c r="H617" s="4"/>
      <c r="I617" s="72"/>
      <c r="J617" s="4"/>
      <c r="K617" s="42"/>
      <c r="L617" s="4"/>
      <c r="M617" s="4"/>
      <c r="N617" s="4"/>
      <c r="O617" s="4"/>
      <c r="Y617" s="153"/>
      <c r="BI617" s="154"/>
      <c r="BJ617" s="20"/>
    </row>
    <row r="618" spans="1:62" s="19" customFormat="1" ht="18" customHeight="1" x14ac:dyDescent="0.2">
      <c r="A618" s="178" t="s">
        <v>30</v>
      </c>
      <c r="B618" s="312" t="s">
        <v>644</v>
      </c>
      <c r="C618" s="312"/>
      <c r="D618" s="312"/>
      <c r="E618" s="312"/>
      <c r="F618" s="312"/>
      <c r="G618" s="143"/>
      <c r="H618" s="4"/>
      <c r="I618" s="72"/>
      <c r="J618" s="4"/>
      <c r="K618" s="42"/>
      <c r="L618" s="4"/>
      <c r="M618" s="4"/>
      <c r="N618" s="4"/>
      <c r="O618" s="4"/>
      <c r="Y618" s="153"/>
      <c r="BI618" s="154"/>
      <c r="BJ618" s="20"/>
    </row>
    <row r="619" spans="1:62" s="19" customFormat="1" ht="46.5" customHeight="1" x14ac:dyDescent="0.2">
      <c r="A619" s="288" t="s">
        <v>645</v>
      </c>
      <c r="B619" s="279" t="s">
        <v>570</v>
      </c>
      <c r="C619" s="298" t="s">
        <v>230</v>
      </c>
      <c r="D619" s="15">
        <f>76.15*1.05</f>
        <v>79.959999999999994</v>
      </c>
      <c r="E619" s="16">
        <f>D619*20%</f>
        <v>15.99</v>
      </c>
      <c r="F619" s="164">
        <f>D619+E619</f>
        <v>95.95</v>
      </c>
      <c r="G619" s="143"/>
      <c r="H619" s="4"/>
      <c r="I619" s="72"/>
      <c r="J619" s="4"/>
      <c r="K619" s="42"/>
      <c r="L619" s="4"/>
      <c r="M619" s="4"/>
      <c r="N619" s="4"/>
      <c r="O619" s="4"/>
      <c r="Y619" s="153"/>
      <c r="BI619" s="154"/>
      <c r="BJ619" s="20"/>
    </row>
    <row r="620" spans="1:62" s="19" customFormat="1" ht="16.5" customHeight="1" x14ac:dyDescent="0.2">
      <c r="A620" s="288"/>
      <c r="B620" s="313" t="s">
        <v>535</v>
      </c>
      <c r="C620" s="313"/>
      <c r="D620" s="313"/>
      <c r="E620" s="313"/>
      <c r="F620" s="313"/>
      <c r="G620" s="143"/>
      <c r="H620" s="4"/>
      <c r="I620" s="72"/>
      <c r="J620" s="4"/>
      <c r="K620" s="42"/>
      <c r="L620" s="4"/>
      <c r="M620" s="4"/>
      <c r="N620" s="4"/>
      <c r="O620" s="4"/>
      <c r="Y620" s="153"/>
      <c r="BI620" s="154"/>
      <c r="BJ620" s="20"/>
    </row>
    <row r="621" spans="1:62" s="19" customFormat="1" ht="21.75" customHeight="1" x14ac:dyDescent="0.2">
      <c r="A621" s="288" t="s">
        <v>646</v>
      </c>
      <c r="B621" s="285" t="s">
        <v>549</v>
      </c>
      <c r="C621" s="298" t="s">
        <v>230</v>
      </c>
      <c r="D621" s="15">
        <f>60.54*1.05</f>
        <v>63.57</v>
      </c>
      <c r="E621" s="16">
        <f t="shared" ref="E621:E626" si="63">D621*20%</f>
        <v>12.71</v>
      </c>
      <c r="F621" s="164">
        <f t="shared" ref="F621:F626" si="64">D621+E621</f>
        <v>76.28</v>
      </c>
      <c r="G621" s="143"/>
      <c r="H621" s="4"/>
      <c r="I621" s="72"/>
      <c r="J621" s="4"/>
      <c r="K621" s="42"/>
      <c r="L621" s="4"/>
      <c r="M621" s="4"/>
      <c r="N621" s="4"/>
      <c r="O621" s="4"/>
      <c r="Y621" s="153"/>
      <c r="BI621" s="154"/>
      <c r="BJ621" s="20"/>
    </row>
    <row r="622" spans="1:62" s="19" customFormat="1" ht="22.5" customHeight="1" x14ac:dyDescent="0.2">
      <c r="A622" s="288" t="s">
        <v>647</v>
      </c>
      <c r="B622" s="285" t="s">
        <v>578</v>
      </c>
      <c r="C622" s="298" t="s">
        <v>230</v>
      </c>
      <c r="D622" s="15">
        <f>65.17*1.05</f>
        <v>68.430000000000007</v>
      </c>
      <c r="E622" s="16">
        <f t="shared" si="63"/>
        <v>13.69</v>
      </c>
      <c r="F622" s="164">
        <f t="shared" si="64"/>
        <v>82.12</v>
      </c>
      <c r="G622" s="143"/>
      <c r="H622" s="4"/>
      <c r="I622" s="72"/>
      <c r="J622" s="4"/>
      <c r="K622" s="42"/>
      <c r="L622" s="4"/>
      <c r="M622" s="4"/>
      <c r="N622" s="4"/>
      <c r="O622" s="4"/>
      <c r="Y622" s="153"/>
      <c r="BI622" s="154"/>
      <c r="BJ622" s="20"/>
    </row>
    <row r="623" spans="1:62" s="19" customFormat="1" ht="21" customHeight="1" x14ac:dyDescent="0.2">
      <c r="A623" s="288" t="s">
        <v>648</v>
      </c>
      <c r="B623" s="285" t="s">
        <v>649</v>
      </c>
      <c r="C623" s="298" t="s">
        <v>230</v>
      </c>
      <c r="D623" s="15">
        <f>213.31*1.05</f>
        <v>223.98</v>
      </c>
      <c r="E623" s="16">
        <f t="shared" si="63"/>
        <v>44.8</v>
      </c>
      <c r="F623" s="164">
        <f t="shared" si="64"/>
        <v>268.77999999999997</v>
      </c>
      <c r="G623" s="143"/>
      <c r="H623" s="4"/>
      <c r="I623" s="72"/>
      <c r="J623" s="4"/>
      <c r="K623" s="42"/>
      <c r="L623" s="4"/>
      <c r="M623" s="4"/>
      <c r="N623" s="4"/>
      <c r="O623" s="4"/>
      <c r="Y623" s="153"/>
      <c r="BI623" s="154"/>
      <c r="BJ623" s="20"/>
    </row>
    <row r="624" spans="1:62" s="19" customFormat="1" ht="21.75" customHeight="1" x14ac:dyDescent="0.2">
      <c r="A624" s="288" t="s">
        <v>650</v>
      </c>
      <c r="B624" s="285" t="s">
        <v>651</v>
      </c>
      <c r="C624" s="298" t="s">
        <v>230</v>
      </c>
      <c r="D624" s="15">
        <f>37.15*1.05</f>
        <v>39.01</v>
      </c>
      <c r="E624" s="16">
        <f t="shared" si="63"/>
        <v>7.8</v>
      </c>
      <c r="F624" s="164">
        <f t="shared" si="64"/>
        <v>46.81</v>
      </c>
      <c r="G624" s="143"/>
      <c r="H624" s="4"/>
      <c r="I624" s="72"/>
      <c r="J624" s="4"/>
      <c r="K624" s="42"/>
      <c r="L624" s="4"/>
      <c r="M624" s="4"/>
      <c r="N624" s="4"/>
      <c r="O624" s="4"/>
      <c r="Y624" s="153"/>
      <c r="BI624" s="154"/>
      <c r="BJ624" s="20"/>
    </row>
    <row r="625" spans="1:62" s="19" customFormat="1" ht="33.75" customHeight="1" x14ac:dyDescent="0.2">
      <c r="A625" s="288" t="s">
        <v>652</v>
      </c>
      <c r="B625" s="285" t="s">
        <v>653</v>
      </c>
      <c r="C625" s="298" t="s">
        <v>230</v>
      </c>
      <c r="D625" s="15">
        <f>132.54*1.05</f>
        <v>139.16999999999999</v>
      </c>
      <c r="E625" s="16">
        <f t="shared" si="63"/>
        <v>27.83</v>
      </c>
      <c r="F625" s="164">
        <f>D625+E625</f>
        <v>167</v>
      </c>
      <c r="G625" s="143"/>
      <c r="H625" s="4"/>
      <c r="I625" s="72"/>
      <c r="J625" s="4"/>
      <c r="K625" s="42"/>
      <c r="L625" s="4"/>
      <c r="M625" s="4"/>
      <c r="N625" s="4"/>
      <c r="O625" s="4"/>
      <c r="Y625" s="153"/>
      <c r="BI625" s="154"/>
      <c r="BJ625" s="20"/>
    </row>
    <row r="626" spans="1:62" s="19" customFormat="1" ht="33.75" customHeight="1" x14ac:dyDescent="0.2">
      <c r="A626" s="288" t="s">
        <v>654</v>
      </c>
      <c r="B626" s="285" t="s">
        <v>655</v>
      </c>
      <c r="C626" s="298" t="s">
        <v>230</v>
      </c>
      <c r="D626" s="15">
        <f>130.71*1.05</f>
        <v>137.25</v>
      </c>
      <c r="E626" s="16">
        <f t="shared" si="63"/>
        <v>27.45</v>
      </c>
      <c r="F626" s="164">
        <f t="shared" si="64"/>
        <v>164.7</v>
      </c>
      <c r="G626" s="143"/>
      <c r="H626" s="4"/>
      <c r="I626" s="72"/>
      <c r="J626" s="4"/>
      <c r="K626" s="42"/>
      <c r="L626" s="4"/>
      <c r="M626" s="4"/>
      <c r="N626" s="4"/>
      <c r="O626" s="4"/>
      <c r="Y626" s="153"/>
      <c r="BI626" s="154"/>
      <c r="BJ626" s="20"/>
    </row>
    <row r="627" spans="1:62" s="19" customFormat="1" ht="20.25" customHeight="1" x14ac:dyDescent="0.2">
      <c r="A627" s="178" t="s">
        <v>32</v>
      </c>
      <c r="B627" s="312" t="s">
        <v>656</v>
      </c>
      <c r="C627" s="312"/>
      <c r="D627" s="312"/>
      <c r="E627" s="312"/>
      <c r="F627" s="312"/>
      <c r="G627" s="143"/>
      <c r="H627" s="4"/>
      <c r="I627" s="72"/>
      <c r="J627" s="4"/>
      <c r="K627" s="42"/>
      <c r="L627" s="4"/>
      <c r="M627" s="4"/>
      <c r="N627" s="4"/>
      <c r="O627" s="4"/>
      <c r="Y627" s="153"/>
      <c r="BI627" s="154"/>
      <c r="BJ627" s="20"/>
    </row>
    <row r="628" spans="1:62" s="19" customFormat="1" ht="46.5" customHeight="1" x14ac:dyDescent="0.2">
      <c r="A628" s="288" t="s">
        <v>263</v>
      </c>
      <c r="B628" s="279" t="s">
        <v>570</v>
      </c>
      <c r="C628" s="298" t="s">
        <v>230</v>
      </c>
      <c r="D628" s="15">
        <f>76.15*1.05</f>
        <v>79.959999999999994</v>
      </c>
      <c r="E628" s="16">
        <f>D628*20%</f>
        <v>15.99</v>
      </c>
      <c r="F628" s="164">
        <f>D628+E628</f>
        <v>95.95</v>
      </c>
      <c r="G628" s="143"/>
      <c r="H628" s="4"/>
      <c r="I628" s="72"/>
      <c r="J628" s="4"/>
      <c r="K628" s="42"/>
      <c r="L628" s="4"/>
      <c r="M628" s="4"/>
      <c r="N628" s="4"/>
      <c r="O628" s="4"/>
      <c r="Y628" s="153"/>
      <c r="BI628" s="154"/>
      <c r="BJ628" s="20"/>
    </row>
    <row r="629" spans="1:62" s="19" customFormat="1" ht="19.5" customHeight="1" x14ac:dyDescent="0.2">
      <c r="A629" s="288"/>
      <c r="B629" s="313" t="s">
        <v>535</v>
      </c>
      <c r="C629" s="313"/>
      <c r="D629" s="313"/>
      <c r="E629" s="313"/>
      <c r="F629" s="313"/>
      <c r="G629" s="143"/>
      <c r="H629" s="4"/>
      <c r="I629" s="72"/>
      <c r="J629" s="4"/>
      <c r="K629" s="42"/>
      <c r="L629" s="4"/>
      <c r="M629" s="4"/>
      <c r="N629" s="4"/>
      <c r="O629" s="4"/>
      <c r="Y629" s="153"/>
      <c r="BI629" s="154"/>
      <c r="BJ629" s="20"/>
    </row>
    <row r="630" spans="1:62" s="19" customFormat="1" ht="18.75" customHeight="1" x14ac:dyDescent="0.2">
      <c r="A630" s="288" t="s">
        <v>265</v>
      </c>
      <c r="B630" s="285" t="s">
        <v>657</v>
      </c>
      <c r="C630" s="298" t="s">
        <v>230</v>
      </c>
      <c r="D630" s="15">
        <f>58.22*1.05</f>
        <v>61.13</v>
      </c>
      <c r="E630" s="16">
        <f t="shared" ref="E630:E644" si="65">D630*20%</f>
        <v>12.23</v>
      </c>
      <c r="F630" s="164">
        <f t="shared" ref="F630:F644" si="66">D630+E630</f>
        <v>73.36</v>
      </c>
      <c r="G630" s="143"/>
      <c r="H630" s="4"/>
      <c r="I630" s="72"/>
      <c r="J630" s="4"/>
      <c r="K630" s="42"/>
      <c r="L630" s="4"/>
      <c r="M630" s="4"/>
      <c r="N630" s="4"/>
      <c r="O630" s="4"/>
      <c r="Y630" s="153"/>
      <c r="BI630" s="154"/>
      <c r="BJ630" s="20"/>
    </row>
    <row r="631" spans="1:62" s="19" customFormat="1" ht="21.75" customHeight="1" x14ac:dyDescent="0.2">
      <c r="A631" s="288" t="s">
        <v>658</v>
      </c>
      <c r="B631" s="285" t="s">
        <v>549</v>
      </c>
      <c r="C631" s="298" t="s">
        <v>230</v>
      </c>
      <c r="D631" s="15">
        <f>55.34*1.05</f>
        <v>58.11</v>
      </c>
      <c r="E631" s="16">
        <f t="shared" si="65"/>
        <v>11.62</v>
      </c>
      <c r="F631" s="164">
        <f t="shared" si="66"/>
        <v>69.73</v>
      </c>
      <c r="G631" s="143"/>
      <c r="H631" s="4"/>
      <c r="I631" s="72"/>
      <c r="J631" s="4"/>
      <c r="K631" s="42"/>
      <c r="L631" s="4"/>
      <c r="M631" s="4"/>
      <c r="N631" s="4"/>
      <c r="O631" s="4"/>
      <c r="Y631" s="153"/>
      <c r="BI631" s="154"/>
      <c r="BJ631" s="20"/>
    </row>
    <row r="632" spans="1:62" s="19" customFormat="1" ht="21" customHeight="1" x14ac:dyDescent="0.2">
      <c r="A632" s="288" t="s">
        <v>659</v>
      </c>
      <c r="B632" s="285" t="s">
        <v>660</v>
      </c>
      <c r="C632" s="298" t="s">
        <v>230</v>
      </c>
      <c r="D632" s="15">
        <f>61.45*1.05</f>
        <v>64.52</v>
      </c>
      <c r="E632" s="16">
        <f t="shared" si="65"/>
        <v>12.9</v>
      </c>
      <c r="F632" s="164">
        <f t="shared" si="66"/>
        <v>77.42</v>
      </c>
      <c r="G632" s="143"/>
      <c r="H632" s="4"/>
      <c r="I632" s="72"/>
      <c r="J632" s="4"/>
      <c r="K632" s="42"/>
      <c r="L632" s="4"/>
      <c r="M632" s="4"/>
      <c r="N632" s="4"/>
      <c r="O632" s="4"/>
      <c r="Y632" s="153"/>
      <c r="BI632" s="154"/>
      <c r="BJ632" s="20"/>
    </row>
    <row r="633" spans="1:62" s="19" customFormat="1" ht="34.5" customHeight="1" x14ac:dyDescent="0.2">
      <c r="A633" s="288" t="s">
        <v>661</v>
      </c>
      <c r="B633" s="285" t="s">
        <v>662</v>
      </c>
      <c r="C633" s="298" t="s">
        <v>230</v>
      </c>
      <c r="D633" s="15">
        <f>104.43*1.05</f>
        <v>109.65</v>
      </c>
      <c r="E633" s="16">
        <f t="shared" si="65"/>
        <v>21.93</v>
      </c>
      <c r="F633" s="164">
        <f t="shared" si="66"/>
        <v>131.58000000000001</v>
      </c>
      <c r="G633" s="143"/>
      <c r="H633" s="4"/>
      <c r="I633" s="72"/>
      <c r="J633" s="4"/>
      <c r="K633" s="42"/>
      <c r="L633" s="4"/>
      <c r="M633" s="4"/>
      <c r="N633" s="4"/>
      <c r="O633" s="4"/>
      <c r="Y633" s="153"/>
      <c r="BI633" s="154"/>
      <c r="BJ633" s="20"/>
    </row>
    <row r="634" spans="1:62" s="19" customFormat="1" ht="21.75" customHeight="1" x14ac:dyDescent="0.2">
      <c r="A634" s="288" t="s">
        <v>663</v>
      </c>
      <c r="B634" s="285" t="s">
        <v>664</v>
      </c>
      <c r="C634" s="298" t="s">
        <v>230</v>
      </c>
      <c r="D634" s="15">
        <f>73.26*1.05</f>
        <v>76.92</v>
      </c>
      <c r="E634" s="16">
        <f t="shared" si="65"/>
        <v>15.38</v>
      </c>
      <c r="F634" s="164">
        <f>D634+E634</f>
        <v>92.3</v>
      </c>
      <c r="G634" s="143"/>
      <c r="H634" s="4"/>
      <c r="I634" s="72"/>
      <c r="J634" s="4"/>
      <c r="K634" s="42"/>
      <c r="L634" s="4"/>
      <c r="M634" s="4"/>
      <c r="N634" s="4"/>
      <c r="O634" s="4"/>
      <c r="Y634" s="153"/>
      <c r="BI634" s="154"/>
      <c r="BJ634" s="20"/>
    </row>
    <row r="635" spans="1:62" s="19" customFormat="1" ht="31.5" customHeight="1" x14ac:dyDescent="0.2">
      <c r="A635" s="288" t="s">
        <v>665</v>
      </c>
      <c r="B635" s="285" t="s">
        <v>666</v>
      </c>
      <c r="C635" s="298" t="s">
        <v>230</v>
      </c>
      <c r="D635" s="15">
        <f>80.77*1.05</f>
        <v>84.81</v>
      </c>
      <c r="E635" s="16">
        <f t="shared" si="65"/>
        <v>16.96</v>
      </c>
      <c r="F635" s="164">
        <f>D635+E635</f>
        <v>101.77</v>
      </c>
      <c r="G635" s="143"/>
      <c r="H635" s="4"/>
      <c r="I635" s="72"/>
      <c r="J635" s="4"/>
      <c r="K635" s="42"/>
      <c r="L635" s="4"/>
      <c r="M635" s="4"/>
      <c r="N635" s="4"/>
      <c r="O635" s="4"/>
      <c r="Y635" s="153"/>
      <c r="BI635" s="154"/>
      <c r="BJ635" s="20"/>
    </row>
    <row r="636" spans="1:62" s="19" customFormat="1" ht="19.5" customHeight="1" x14ac:dyDescent="0.2">
      <c r="A636" s="288" t="s">
        <v>667</v>
      </c>
      <c r="B636" s="285" t="s">
        <v>668</v>
      </c>
      <c r="C636" s="298" t="s">
        <v>230</v>
      </c>
      <c r="D636" s="15">
        <f>75.11*1.05</f>
        <v>78.87</v>
      </c>
      <c r="E636" s="16">
        <f t="shared" si="65"/>
        <v>15.77</v>
      </c>
      <c r="F636" s="164">
        <f t="shared" si="66"/>
        <v>94.64</v>
      </c>
      <c r="G636" s="143"/>
      <c r="H636" s="4"/>
      <c r="I636" s="72"/>
      <c r="J636" s="4"/>
      <c r="K636" s="42"/>
      <c r="L636" s="4"/>
      <c r="M636" s="4"/>
      <c r="N636" s="4"/>
      <c r="O636" s="4"/>
      <c r="Y636" s="153"/>
      <c r="BI636" s="154"/>
      <c r="BJ636" s="20"/>
    </row>
    <row r="637" spans="1:62" s="19" customFormat="1" ht="36.75" customHeight="1" x14ac:dyDescent="0.2">
      <c r="A637" s="288" t="s">
        <v>669</v>
      </c>
      <c r="B637" s="285" t="s">
        <v>670</v>
      </c>
      <c r="C637" s="298" t="s">
        <v>230</v>
      </c>
      <c r="D637" s="15">
        <f>222.14*1.05</f>
        <v>233.25</v>
      </c>
      <c r="E637" s="16">
        <f t="shared" si="65"/>
        <v>46.65</v>
      </c>
      <c r="F637" s="164">
        <f t="shared" si="66"/>
        <v>279.89999999999998</v>
      </c>
      <c r="G637" s="143"/>
      <c r="H637" s="4"/>
      <c r="I637" s="72"/>
      <c r="J637" s="4"/>
      <c r="K637" s="42"/>
      <c r="L637" s="4"/>
      <c r="M637" s="4"/>
      <c r="N637" s="4"/>
      <c r="O637" s="4"/>
      <c r="Y637" s="153"/>
      <c r="BI637" s="154"/>
      <c r="BJ637" s="20"/>
    </row>
    <row r="638" spans="1:62" s="19" customFormat="1" ht="30" customHeight="1" x14ac:dyDescent="0.2">
      <c r="A638" s="288" t="s">
        <v>671</v>
      </c>
      <c r="B638" s="285" t="s">
        <v>672</v>
      </c>
      <c r="C638" s="298" t="s">
        <v>230</v>
      </c>
      <c r="D638" s="15">
        <f>65.07*1.05</f>
        <v>68.319999999999993</v>
      </c>
      <c r="E638" s="16">
        <f t="shared" si="65"/>
        <v>13.66</v>
      </c>
      <c r="F638" s="164">
        <f t="shared" si="66"/>
        <v>81.98</v>
      </c>
      <c r="G638" s="143"/>
      <c r="H638" s="4"/>
      <c r="I638" s="72"/>
      <c r="J638" s="4"/>
      <c r="K638" s="42"/>
      <c r="L638" s="4"/>
      <c r="M638" s="4"/>
      <c r="N638" s="4"/>
      <c r="O638" s="4"/>
      <c r="Y638" s="153"/>
      <c r="BI638" s="154"/>
      <c r="BJ638" s="20"/>
    </row>
    <row r="639" spans="1:62" s="19" customFormat="1" ht="24" customHeight="1" x14ac:dyDescent="0.2">
      <c r="A639" s="288" t="s">
        <v>673</v>
      </c>
      <c r="B639" s="285" t="s">
        <v>674</v>
      </c>
      <c r="C639" s="298" t="s">
        <v>230</v>
      </c>
      <c r="D639" s="15">
        <f>52.84*1.05</f>
        <v>55.48</v>
      </c>
      <c r="E639" s="16">
        <f t="shared" si="65"/>
        <v>11.1</v>
      </c>
      <c r="F639" s="164">
        <f t="shared" si="66"/>
        <v>66.58</v>
      </c>
      <c r="G639" s="143"/>
      <c r="H639" s="4"/>
      <c r="I639" s="72"/>
      <c r="J639" s="4"/>
      <c r="K639" s="42"/>
      <c r="L639" s="4"/>
      <c r="M639" s="4"/>
      <c r="N639" s="4"/>
      <c r="O639" s="4"/>
      <c r="Y639" s="153"/>
      <c r="BI639" s="154"/>
      <c r="BJ639" s="20"/>
    </row>
    <row r="640" spans="1:62" s="19" customFormat="1" ht="32.25" customHeight="1" x14ac:dyDescent="0.2">
      <c r="A640" s="288" t="s">
        <v>675</v>
      </c>
      <c r="B640" s="285" t="s">
        <v>676</v>
      </c>
      <c r="C640" s="298" t="s">
        <v>230</v>
      </c>
      <c r="D640" s="15">
        <f>63.04*1.05</f>
        <v>66.19</v>
      </c>
      <c r="E640" s="16">
        <f t="shared" si="65"/>
        <v>13.24</v>
      </c>
      <c r="F640" s="164">
        <f t="shared" si="66"/>
        <v>79.430000000000007</v>
      </c>
      <c r="G640" s="143"/>
      <c r="H640" s="4"/>
      <c r="I640" s="72"/>
      <c r="J640" s="4"/>
      <c r="K640" s="42"/>
      <c r="L640" s="4"/>
      <c r="M640" s="4"/>
      <c r="N640" s="4"/>
      <c r="O640" s="4"/>
      <c r="Y640" s="153"/>
      <c r="BI640" s="154"/>
      <c r="BJ640" s="20"/>
    </row>
    <row r="641" spans="1:62" s="19" customFormat="1" ht="18.75" customHeight="1" x14ac:dyDescent="0.2">
      <c r="A641" s="288" t="s">
        <v>677</v>
      </c>
      <c r="B641" s="285" t="s">
        <v>651</v>
      </c>
      <c r="C641" s="298" t="s">
        <v>230</v>
      </c>
      <c r="D641" s="15">
        <f>65.06*1.05</f>
        <v>68.31</v>
      </c>
      <c r="E641" s="16">
        <f t="shared" si="65"/>
        <v>13.66</v>
      </c>
      <c r="F641" s="164">
        <f t="shared" si="66"/>
        <v>81.97</v>
      </c>
      <c r="G641" s="143"/>
      <c r="H641" s="4"/>
      <c r="I641" s="72"/>
      <c r="J641" s="4"/>
      <c r="K641" s="42"/>
      <c r="L641" s="4"/>
      <c r="M641" s="4"/>
      <c r="N641" s="4"/>
      <c r="O641" s="4"/>
      <c r="Y641" s="153"/>
      <c r="BI641" s="154"/>
      <c r="BJ641" s="20"/>
    </row>
    <row r="642" spans="1:62" s="19" customFormat="1" ht="30" customHeight="1" x14ac:dyDescent="0.2">
      <c r="A642" s="288" t="s">
        <v>678</v>
      </c>
      <c r="B642" s="285" t="s">
        <v>679</v>
      </c>
      <c r="C642" s="298" t="s">
        <v>230</v>
      </c>
      <c r="D642" s="15">
        <f>57.75*1.05</f>
        <v>60.64</v>
      </c>
      <c r="E642" s="16">
        <f t="shared" si="65"/>
        <v>12.13</v>
      </c>
      <c r="F642" s="164">
        <f t="shared" si="66"/>
        <v>72.77</v>
      </c>
      <c r="G642" s="143"/>
      <c r="H642" s="4"/>
      <c r="I642" s="72"/>
      <c r="J642" s="4"/>
      <c r="K642" s="42"/>
      <c r="L642" s="4"/>
      <c r="M642" s="4"/>
      <c r="N642" s="4"/>
      <c r="O642" s="4"/>
      <c r="Y642" s="153"/>
      <c r="BI642" s="154"/>
      <c r="BJ642" s="20"/>
    </row>
    <row r="643" spans="1:62" s="19" customFormat="1" ht="30" customHeight="1" x14ac:dyDescent="0.2">
      <c r="A643" s="288" t="s">
        <v>680</v>
      </c>
      <c r="B643" s="285" t="s">
        <v>681</v>
      </c>
      <c r="C643" s="298" t="s">
        <v>230</v>
      </c>
      <c r="D643" s="15">
        <f>167.23*1.05</f>
        <v>175.59</v>
      </c>
      <c r="E643" s="16">
        <f t="shared" si="65"/>
        <v>35.119999999999997</v>
      </c>
      <c r="F643" s="164">
        <f t="shared" si="66"/>
        <v>210.71</v>
      </c>
      <c r="G643" s="143"/>
      <c r="H643" s="4"/>
      <c r="I643" s="72"/>
      <c r="J643" s="4"/>
      <c r="K643" s="42"/>
      <c r="L643" s="4"/>
      <c r="M643" s="4"/>
      <c r="N643" s="4"/>
      <c r="O643" s="4"/>
      <c r="Y643" s="153"/>
      <c r="BI643" s="154"/>
      <c r="BJ643" s="20"/>
    </row>
    <row r="644" spans="1:62" s="19" customFormat="1" ht="33" customHeight="1" x14ac:dyDescent="0.2">
      <c r="A644" s="288" t="s">
        <v>682</v>
      </c>
      <c r="B644" s="285" t="s">
        <v>683</v>
      </c>
      <c r="C644" s="298" t="s">
        <v>230</v>
      </c>
      <c r="D644" s="15">
        <f>57.78*1.05</f>
        <v>60.67</v>
      </c>
      <c r="E644" s="16">
        <f t="shared" si="65"/>
        <v>12.13</v>
      </c>
      <c r="F644" s="164">
        <f t="shared" si="66"/>
        <v>72.8</v>
      </c>
      <c r="G644" s="143"/>
      <c r="H644" s="4"/>
      <c r="I644" s="72"/>
      <c r="J644" s="4"/>
      <c r="K644" s="42"/>
      <c r="L644" s="4"/>
      <c r="M644" s="4"/>
      <c r="N644" s="4"/>
      <c r="O644" s="4"/>
      <c r="Y644" s="153"/>
      <c r="BI644" s="154"/>
      <c r="BJ644" s="20"/>
    </row>
    <row r="645" spans="1:62" s="19" customFormat="1" ht="18.75" customHeight="1" x14ac:dyDescent="0.2">
      <c r="A645" s="278" t="s">
        <v>34</v>
      </c>
      <c r="B645" s="312" t="s">
        <v>684</v>
      </c>
      <c r="C645" s="312"/>
      <c r="D645" s="312"/>
      <c r="E645" s="312"/>
      <c r="F645" s="312"/>
      <c r="G645" s="143"/>
      <c r="H645" s="4"/>
      <c r="I645" s="72"/>
      <c r="J645" s="4"/>
      <c r="K645" s="42"/>
      <c r="L645" s="4"/>
      <c r="M645" s="4"/>
      <c r="N645" s="4"/>
      <c r="O645" s="4"/>
      <c r="Y645" s="153"/>
      <c r="BI645" s="154"/>
      <c r="BJ645" s="20"/>
    </row>
    <row r="646" spans="1:62" s="19" customFormat="1" ht="46.5" customHeight="1" x14ac:dyDescent="0.2">
      <c r="A646" s="288" t="s">
        <v>685</v>
      </c>
      <c r="B646" s="279" t="s">
        <v>570</v>
      </c>
      <c r="C646" s="298" t="s">
        <v>230</v>
      </c>
      <c r="D646" s="15">
        <f>76.15*1.05</f>
        <v>79.959999999999994</v>
      </c>
      <c r="E646" s="16">
        <f>D646*20%</f>
        <v>15.99</v>
      </c>
      <c r="F646" s="164">
        <f>D646+E646</f>
        <v>95.95</v>
      </c>
      <c r="G646" s="143"/>
      <c r="H646" s="4"/>
      <c r="I646" s="72"/>
      <c r="J646" s="4"/>
      <c r="K646" s="42"/>
      <c r="L646" s="4"/>
      <c r="M646" s="4"/>
      <c r="N646" s="4"/>
      <c r="O646" s="4"/>
      <c r="Y646" s="153"/>
      <c r="BI646" s="154"/>
      <c r="BJ646" s="20"/>
    </row>
    <row r="647" spans="1:62" s="19" customFormat="1" ht="21.75" customHeight="1" x14ac:dyDescent="0.2">
      <c r="A647" s="288"/>
      <c r="B647" s="313" t="s">
        <v>535</v>
      </c>
      <c r="C647" s="313"/>
      <c r="D647" s="313"/>
      <c r="E647" s="313"/>
      <c r="F647" s="313"/>
      <c r="G647" s="143"/>
      <c r="H647" s="4"/>
      <c r="I647" s="72"/>
      <c r="J647" s="4"/>
      <c r="K647" s="42"/>
      <c r="L647" s="4"/>
      <c r="M647" s="4"/>
      <c r="N647" s="4"/>
      <c r="O647" s="4"/>
      <c r="Y647" s="153"/>
      <c r="BI647" s="154"/>
      <c r="BJ647" s="20"/>
    </row>
    <row r="648" spans="1:62" s="19" customFormat="1" ht="19.5" customHeight="1" x14ac:dyDescent="0.2">
      <c r="A648" s="288" t="s">
        <v>686</v>
      </c>
      <c r="B648" s="285" t="s">
        <v>687</v>
      </c>
      <c r="C648" s="298" t="s">
        <v>230</v>
      </c>
      <c r="D648" s="15">
        <f>53.47*1.05</f>
        <v>56.14</v>
      </c>
      <c r="E648" s="16">
        <f t="shared" ref="E648:E659" si="67">D648*20%</f>
        <v>11.23</v>
      </c>
      <c r="F648" s="164">
        <f t="shared" ref="F648:F659" si="68">D648+E648</f>
        <v>67.37</v>
      </c>
      <c r="G648" s="143"/>
      <c r="H648" s="4"/>
      <c r="I648" s="72"/>
      <c r="J648" s="4"/>
      <c r="K648" s="42"/>
      <c r="L648" s="4"/>
      <c r="M648" s="4"/>
      <c r="N648" s="4"/>
      <c r="O648" s="4"/>
      <c r="Y648" s="153"/>
      <c r="BI648" s="154"/>
      <c r="BJ648" s="20"/>
    </row>
    <row r="649" spans="1:62" s="19" customFormat="1" ht="20.25" customHeight="1" x14ac:dyDescent="0.2">
      <c r="A649" s="288" t="s">
        <v>688</v>
      </c>
      <c r="B649" s="285" t="s">
        <v>689</v>
      </c>
      <c r="C649" s="298" t="s">
        <v>230</v>
      </c>
      <c r="D649" s="15">
        <f>63.21*1.05</f>
        <v>66.37</v>
      </c>
      <c r="E649" s="16">
        <f t="shared" si="67"/>
        <v>13.27</v>
      </c>
      <c r="F649" s="164">
        <f t="shared" si="68"/>
        <v>79.64</v>
      </c>
      <c r="G649" s="143"/>
      <c r="H649" s="4"/>
      <c r="I649" s="72"/>
      <c r="J649" s="4"/>
      <c r="K649" s="42"/>
      <c r="L649" s="4"/>
      <c r="M649" s="4"/>
      <c r="N649" s="4"/>
      <c r="O649" s="4"/>
      <c r="Y649" s="153"/>
      <c r="BI649" s="154"/>
      <c r="BJ649" s="20"/>
    </row>
    <row r="650" spans="1:62" s="19" customFormat="1" ht="19.5" customHeight="1" x14ac:dyDescent="0.2">
      <c r="A650" s="288" t="s">
        <v>690</v>
      </c>
      <c r="B650" s="285" t="s">
        <v>691</v>
      </c>
      <c r="C650" s="298" t="s">
        <v>230</v>
      </c>
      <c r="D650" s="15">
        <f>249.6*1.05</f>
        <v>262.08</v>
      </c>
      <c r="E650" s="16">
        <f t="shared" si="67"/>
        <v>52.42</v>
      </c>
      <c r="F650" s="164">
        <f t="shared" si="68"/>
        <v>314.5</v>
      </c>
      <c r="G650" s="143"/>
      <c r="H650" s="4"/>
      <c r="I650" s="72"/>
      <c r="J650" s="4"/>
      <c r="K650" s="42"/>
      <c r="L650" s="4"/>
      <c r="M650" s="4"/>
      <c r="N650" s="4"/>
      <c r="O650" s="4"/>
      <c r="Y650" s="153"/>
      <c r="BI650" s="154"/>
      <c r="BJ650" s="20"/>
    </row>
    <row r="651" spans="1:62" s="19" customFormat="1" ht="30" customHeight="1" x14ac:dyDescent="0.2">
      <c r="A651" s="288" t="s">
        <v>692</v>
      </c>
      <c r="B651" s="285" t="s">
        <v>693</v>
      </c>
      <c r="C651" s="298" t="s">
        <v>230</v>
      </c>
      <c r="D651" s="15">
        <f>76.34*1.05</f>
        <v>80.16</v>
      </c>
      <c r="E651" s="16">
        <f t="shared" si="67"/>
        <v>16.03</v>
      </c>
      <c r="F651" s="164">
        <f t="shared" si="68"/>
        <v>96.19</v>
      </c>
      <c r="G651" s="143"/>
      <c r="H651" s="4"/>
      <c r="I651" s="72"/>
      <c r="J651" s="4"/>
      <c r="K651" s="42"/>
      <c r="L651" s="4"/>
      <c r="M651" s="4"/>
      <c r="N651" s="4"/>
      <c r="O651" s="4"/>
      <c r="Y651" s="153"/>
      <c r="BI651" s="154"/>
      <c r="BJ651" s="20"/>
    </row>
    <row r="652" spans="1:62" s="19" customFormat="1" ht="18.75" customHeight="1" x14ac:dyDescent="0.2">
      <c r="A652" s="288" t="s">
        <v>694</v>
      </c>
      <c r="B652" s="285" t="s">
        <v>695</v>
      </c>
      <c r="C652" s="298" t="s">
        <v>230</v>
      </c>
      <c r="D652" s="15">
        <f>21.23*1.05</f>
        <v>22.29</v>
      </c>
      <c r="E652" s="16">
        <f t="shared" si="67"/>
        <v>4.46</v>
      </c>
      <c r="F652" s="164">
        <f t="shared" si="68"/>
        <v>26.75</v>
      </c>
      <c r="G652" s="143"/>
      <c r="H652" s="4"/>
      <c r="I652" s="72"/>
      <c r="J652" s="4"/>
      <c r="K652" s="42"/>
      <c r="L652" s="4"/>
      <c r="M652" s="4"/>
      <c r="N652" s="4"/>
      <c r="O652" s="4"/>
      <c r="Y652" s="153"/>
      <c r="BI652" s="154"/>
      <c r="BJ652" s="20"/>
    </row>
    <row r="653" spans="1:62" s="19" customFormat="1" ht="30" customHeight="1" x14ac:dyDescent="0.2">
      <c r="A653" s="288" t="s">
        <v>696</v>
      </c>
      <c r="B653" s="285" t="s">
        <v>697</v>
      </c>
      <c r="C653" s="298" t="s">
        <v>230</v>
      </c>
      <c r="D653" s="15">
        <f>21.23*1.05</f>
        <v>22.29</v>
      </c>
      <c r="E653" s="16">
        <f t="shared" si="67"/>
        <v>4.46</v>
      </c>
      <c r="F653" s="164">
        <f t="shared" si="68"/>
        <v>26.75</v>
      </c>
      <c r="G653" s="143"/>
      <c r="H653" s="4"/>
      <c r="I653" s="72"/>
      <c r="J653" s="4"/>
      <c r="K653" s="42"/>
      <c r="L653" s="4"/>
      <c r="M653" s="4"/>
      <c r="N653" s="4"/>
      <c r="O653" s="4"/>
      <c r="Y653" s="153"/>
      <c r="BI653" s="154"/>
      <c r="BJ653" s="20"/>
    </row>
    <row r="654" spans="1:62" s="19" customFormat="1" ht="21" customHeight="1" x14ac:dyDescent="0.2">
      <c r="A654" s="288" t="s">
        <v>698</v>
      </c>
      <c r="B654" s="285" t="s">
        <v>699</v>
      </c>
      <c r="C654" s="298" t="s">
        <v>230</v>
      </c>
      <c r="D654" s="15">
        <f>92.74*1.05</f>
        <v>97.38</v>
      </c>
      <c r="E654" s="16">
        <f t="shared" si="67"/>
        <v>19.48</v>
      </c>
      <c r="F654" s="164">
        <f t="shared" si="68"/>
        <v>116.86</v>
      </c>
      <c r="G654" s="143"/>
      <c r="H654" s="4"/>
      <c r="I654" s="72"/>
      <c r="J654" s="4"/>
      <c r="K654" s="42"/>
      <c r="L654" s="4"/>
      <c r="M654" s="4"/>
      <c r="N654" s="4"/>
      <c r="O654" s="4"/>
      <c r="Y654" s="153"/>
      <c r="BI654" s="154"/>
      <c r="BJ654" s="20"/>
    </row>
    <row r="655" spans="1:62" s="19" customFormat="1" ht="35.25" customHeight="1" x14ac:dyDescent="0.2">
      <c r="A655" s="288" t="s">
        <v>700</v>
      </c>
      <c r="B655" s="285" t="s">
        <v>701</v>
      </c>
      <c r="C655" s="298" t="s">
        <v>230</v>
      </c>
      <c r="D655" s="15">
        <f>243.43*1.05</f>
        <v>255.6</v>
      </c>
      <c r="E655" s="16">
        <f t="shared" si="67"/>
        <v>51.12</v>
      </c>
      <c r="F655" s="164">
        <f t="shared" si="68"/>
        <v>306.72000000000003</v>
      </c>
      <c r="G655" s="143"/>
      <c r="H655" s="4"/>
      <c r="I655" s="72"/>
      <c r="J655" s="4"/>
      <c r="K655" s="42"/>
      <c r="L655" s="4"/>
      <c r="M655" s="4"/>
      <c r="N655" s="4"/>
      <c r="O655" s="4"/>
      <c r="Y655" s="153"/>
      <c r="BI655" s="154"/>
      <c r="BJ655" s="20"/>
    </row>
    <row r="656" spans="1:62" s="19" customFormat="1" ht="30" customHeight="1" x14ac:dyDescent="0.2">
      <c r="A656" s="288" t="s">
        <v>702</v>
      </c>
      <c r="B656" s="285" t="s">
        <v>703</v>
      </c>
      <c r="C656" s="298" t="s">
        <v>230</v>
      </c>
      <c r="D656" s="15">
        <f>100.88*1.05</f>
        <v>105.92</v>
      </c>
      <c r="E656" s="16">
        <f t="shared" si="67"/>
        <v>21.18</v>
      </c>
      <c r="F656" s="164">
        <f t="shared" si="68"/>
        <v>127.1</v>
      </c>
      <c r="G656" s="143"/>
      <c r="H656" s="4"/>
      <c r="I656" s="72"/>
      <c r="J656" s="4"/>
      <c r="K656" s="42"/>
      <c r="L656" s="4"/>
      <c r="M656" s="4"/>
      <c r="N656" s="4"/>
      <c r="O656" s="4"/>
      <c r="Y656" s="153"/>
      <c r="BI656" s="154"/>
      <c r="BJ656" s="20"/>
    </row>
    <row r="657" spans="1:62" s="19" customFormat="1" ht="23.25" customHeight="1" x14ac:dyDescent="0.2">
      <c r="A657" s="288" t="s">
        <v>704</v>
      </c>
      <c r="B657" s="285" t="s">
        <v>705</v>
      </c>
      <c r="C657" s="298" t="s">
        <v>230</v>
      </c>
      <c r="D657" s="15">
        <f>15.36*1.05</f>
        <v>16.13</v>
      </c>
      <c r="E657" s="16">
        <f t="shared" si="67"/>
        <v>3.23</v>
      </c>
      <c r="F657" s="164">
        <f>D657+E657</f>
        <v>19.36</v>
      </c>
      <c r="G657" s="143"/>
      <c r="H657" s="4"/>
      <c r="I657" s="72"/>
      <c r="J657" s="4"/>
      <c r="K657" s="42"/>
      <c r="L657" s="4"/>
      <c r="M657" s="4"/>
      <c r="N657" s="4"/>
      <c r="O657" s="4"/>
      <c r="Y657" s="153"/>
      <c r="BI657" s="154"/>
      <c r="BJ657" s="20"/>
    </row>
    <row r="658" spans="1:62" s="19" customFormat="1" ht="24.75" customHeight="1" x14ac:dyDescent="0.2">
      <c r="A658" s="288" t="s">
        <v>706</v>
      </c>
      <c r="B658" s="285" t="s">
        <v>707</v>
      </c>
      <c r="C658" s="298" t="s">
        <v>230</v>
      </c>
      <c r="D658" s="15">
        <f>19.49*1.05</f>
        <v>20.46</v>
      </c>
      <c r="E658" s="16">
        <f t="shared" si="67"/>
        <v>4.09</v>
      </c>
      <c r="F658" s="164">
        <f t="shared" si="68"/>
        <v>24.55</v>
      </c>
      <c r="G658" s="143"/>
      <c r="H658" s="4"/>
      <c r="I658" s="72"/>
      <c r="J658" s="4"/>
      <c r="K658" s="42"/>
      <c r="L658" s="4"/>
      <c r="M658" s="4"/>
      <c r="N658" s="4"/>
      <c r="O658" s="4"/>
      <c r="Y658" s="153"/>
      <c r="BI658" s="154"/>
      <c r="BJ658" s="20"/>
    </row>
    <row r="659" spans="1:62" s="19" customFormat="1" ht="21" customHeight="1" x14ac:dyDescent="0.2">
      <c r="A659" s="288" t="s">
        <v>708</v>
      </c>
      <c r="B659" s="285" t="s">
        <v>709</v>
      </c>
      <c r="C659" s="298" t="s">
        <v>230</v>
      </c>
      <c r="D659" s="15">
        <f>72.24*1.05</f>
        <v>75.849999999999994</v>
      </c>
      <c r="E659" s="16">
        <f t="shared" si="67"/>
        <v>15.17</v>
      </c>
      <c r="F659" s="164">
        <f t="shared" si="68"/>
        <v>91.02</v>
      </c>
      <c r="G659" s="143"/>
      <c r="H659" s="4"/>
      <c r="I659" s="72"/>
      <c r="J659" s="4"/>
      <c r="K659" s="42"/>
      <c r="L659" s="4"/>
      <c r="M659" s="4"/>
      <c r="N659" s="4"/>
      <c r="O659" s="4"/>
      <c r="Y659" s="153"/>
      <c r="BI659" s="154"/>
      <c r="BJ659" s="20"/>
    </row>
    <row r="660" spans="1:62" s="19" customFormat="1" ht="17.25" customHeight="1" x14ac:dyDescent="0.2">
      <c r="A660" s="178" t="s">
        <v>36</v>
      </c>
      <c r="B660" s="312" t="s">
        <v>710</v>
      </c>
      <c r="C660" s="312"/>
      <c r="D660" s="312"/>
      <c r="E660" s="312"/>
      <c r="F660" s="312"/>
      <c r="G660" s="143"/>
      <c r="H660" s="4"/>
      <c r="I660" s="72"/>
      <c r="J660" s="4"/>
      <c r="K660" s="42"/>
      <c r="L660" s="4"/>
      <c r="M660" s="4"/>
      <c r="N660" s="4"/>
      <c r="O660" s="4"/>
      <c r="Y660" s="153"/>
      <c r="BI660" s="154"/>
      <c r="BJ660" s="20"/>
    </row>
    <row r="661" spans="1:62" s="19" customFormat="1" ht="46.5" customHeight="1" x14ac:dyDescent="0.2">
      <c r="A661" s="288" t="s">
        <v>711</v>
      </c>
      <c r="B661" s="279" t="s">
        <v>570</v>
      </c>
      <c r="C661" s="298" t="s">
        <v>230</v>
      </c>
      <c r="D661" s="15">
        <f>76.15*1.05</f>
        <v>79.959999999999994</v>
      </c>
      <c r="E661" s="16">
        <f>D661*20%</f>
        <v>15.99</v>
      </c>
      <c r="F661" s="164">
        <f>D661+E661</f>
        <v>95.95</v>
      </c>
      <c r="G661" s="143"/>
      <c r="H661" s="4"/>
      <c r="I661" s="72"/>
      <c r="J661" s="4"/>
      <c r="K661" s="42"/>
      <c r="L661" s="4"/>
      <c r="M661" s="4"/>
      <c r="N661" s="4"/>
      <c r="O661" s="4"/>
      <c r="Y661" s="153"/>
      <c r="BI661" s="154"/>
      <c r="BJ661" s="20"/>
    </row>
    <row r="662" spans="1:62" s="19" customFormat="1" ht="16.5" customHeight="1" x14ac:dyDescent="0.2">
      <c r="A662" s="288"/>
      <c r="B662" s="313" t="s">
        <v>535</v>
      </c>
      <c r="C662" s="313"/>
      <c r="D662" s="313"/>
      <c r="E662" s="313"/>
      <c r="F662" s="313"/>
      <c r="G662" s="143"/>
      <c r="H662" s="4"/>
      <c r="I662" s="72"/>
      <c r="J662" s="4"/>
      <c r="K662" s="42"/>
      <c r="L662" s="4"/>
      <c r="M662" s="4"/>
      <c r="N662" s="4"/>
      <c r="O662" s="4"/>
      <c r="Y662" s="153"/>
      <c r="BI662" s="154"/>
      <c r="BJ662" s="20"/>
    </row>
    <row r="663" spans="1:62" s="19" customFormat="1" ht="48" customHeight="1" x14ac:dyDescent="0.2">
      <c r="A663" s="288" t="s">
        <v>712</v>
      </c>
      <c r="B663" s="285" t="s">
        <v>713</v>
      </c>
      <c r="C663" s="298" t="s">
        <v>230</v>
      </c>
      <c r="D663" s="15">
        <f>178.64*1.05</f>
        <v>187.57</v>
      </c>
      <c r="E663" s="16">
        <f>D663*20%</f>
        <v>37.51</v>
      </c>
      <c r="F663" s="164">
        <f>D663+E663</f>
        <v>225.08</v>
      </c>
      <c r="G663" s="143"/>
      <c r="H663" s="4"/>
      <c r="I663" s="72"/>
      <c r="J663" s="4"/>
      <c r="K663" s="42"/>
      <c r="L663" s="4"/>
      <c r="M663" s="4"/>
      <c r="N663" s="4"/>
      <c r="O663" s="4"/>
      <c r="Y663" s="153"/>
      <c r="BI663" s="154"/>
      <c r="BJ663" s="20"/>
    </row>
    <row r="664" spans="1:62" s="19" customFormat="1" ht="46.5" customHeight="1" x14ac:dyDescent="0.2">
      <c r="A664" s="288" t="s">
        <v>714</v>
      </c>
      <c r="B664" s="285" t="s">
        <v>715</v>
      </c>
      <c r="C664" s="298" t="s">
        <v>230</v>
      </c>
      <c r="D664" s="15">
        <f>106.71*1.05</f>
        <v>112.05</v>
      </c>
      <c r="E664" s="16">
        <f>D664*20%</f>
        <v>22.41</v>
      </c>
      <c r="F664" s="164">
        <f>D664+E664</f>
        <v>134.46</v>
      </c>
      <c r="G664" s="143"/>
      <c r="H664" s="4"/>
      <c r="I664" s="72"/>
      <c r="J664" s="4"/>
      <c r="K664" s="42"/>
      <c r="L664" s="4"/>
      <c r="M664" s="4"/>
      <c r="N664" s="4"/>
      <c r="O664" s="4"/>
      <c r="Y664" s="153"/>
      <c r="BI664" s="154"/>
      <c r="BJ664" s="20"/>
    </row>
    <row r="665" spans="1:62" s="19" customFormat="1" ht="19.5" customHeight="1" x14ac:dyDescent="0.2">
      <c r="A665" s="278" t="s">
        <v>38</v>
      </c>
      <c r="B665" s="312" t="s">
        <v>716</v>
      </c>
      <c r="C665" s="312"/>
      <c r="D665" s="312"/>
      <c r="E665" s="312"/>
      <c r="F665" s="312"/>
      <c r="G665" s="143"/>
      <c r="H665" s="4"/>
      <c r="I665" s="72"/>
      <c r="J665" s="4"/>
      <c r="K665" s="42"/>
      <c r="L665" s="4"/>
      <c r="M665" s="4"/>
      <c r="N665" s="4"/>
      <c r="O665" s="4"/>
      <c r="Y665" s="153"/>
      <c r="BI665" s="154"/>
      <c r="BJ665" s="20"/>
    </row>
    <row r="666" spans="1:62" s="19" customFormat="1" ht="46.5" customHeight="1" x14ac:dyDescent="0.2">
      <c r="A666" s="288" t="s">
        <v>717</v>
      </c>
      <c r="B666" s="279" t="s">
        <v>570</v>
      </c>
      <c r="C666" s="298" t="s">
        <v>230</v>
      </c>
      <c r="D666" s="15">
        <f>76.15*1.05</f>
        <v>79.959999999999994</v>
      </c>
      <c r="E666" s="16">
        <f t="shared" ref="E666:E674" si="69">D666*20%</f>
        <v>15.99</v>
      </c>
      <c r="F666" s="164">
        <f t="shared" ref="F666:F673" si="70">D666+E666</f>
        <v>95.95</v>
      </c>
      <c r="G666" s="143"/>
      <c r="H666" s="4"/>
      <c r="I666" s="72"/>
      <c r="J666" s="4"/>
      <c r="K666" s="42"/>
      <c r="L666" s="4"/>
      <c r="M666" s="4"/>
      <c r="N666" s="4"/>
      <c r="O666" s="4"/>
      <c r="Y666" s="153"/>
      <c r="BI666" s="154"/>
      <c r="BJ666" s="20"/>
    </row>
    <row r="667" spans="1:62" s="19" customFormat="1" ht="32.25" customHeight="1" x14ac:dyDescent="0.2">
      <c r="A667" s="288" t="s">
        <v>718</v>
      </c>
      <c r="B667" s="285" t="s">
        <v>719</v>
      </c>
      <c r="C667" s="298" t="s">
        <v>230</v>
      </c>
      <c r="D667" s="15">
        <f>12.7*1.05</f>
        <v>13.34</v>
      </c>
      <c r="E667" s="16">
        <f t="shared" si="69"/>
        <v>2.67</v>
      </c>
      <c r="F667" s="164">
        <f>D667+E667</f>
        <v>16.010000000000002</v>
      </c>
      <c r="G667" s="143"/>
      <c r="H667" s="4"/>
      <c r="I667" s="72"/>
      <c r="J667" s="4"/>
      <c r="K667" s="42"/>
      <c r="L667" s="4"/>
      <c r="M667" s="4"/>
      <c r="N667" s="4"/>
      <c r="O667" s="4"/>
      <c r="Y667" s="153"/>
      <c r="BI667" s="154"/>
      <c r="BJ667" s="20"/>
    </row>
    <row r="668" spans="1:62" s="19" customFormat="1" ht="20.25" customHeight="1" x14ac:dyDescent="0.2">
      <c r="A668" s="288" t="s">
        <v>720</v>
      </c>
      <c r="B668" s="285" t="s">
        <v>657</v>
      </c>
      <c r="C668" s="298" t="s">
        <v>230</v>
      </c>
      <c r="D668" s="15">
        <f>48.86*1.05</f>
        <v>51.3</v>
      </c>
      <c r="E668" s="16">
        <f t="shared" si="69"/>
        <v>10.26</v>
      </c>
      <c r="F668" s="164">
        <f t="shared" si="70"/>
        <v>61.56</v>
      </c>
      <c r="G668" s="143"/>
      <c r="H668" s="4"/>
      <c r="I668" s="72"/>
      <c r="J668" s="4"/>
      <c r="K668" s="42"/>
      <c r="L668" s="4"/>
      <c r="M668" s="4"/>
      <c r="N668" s="4"/>
      <c r="O668" s="4"/>
      <c r="Y668" s="153"/>
      <c r="BI668" s="154"/>
      <c r="BJ668" s="20"/>
    </row>
    <row r="669" spans="1:62" s="19" customFormat="1" ht="18" customHeight="1" x14ac:dyDescent="0.2">
      <c r="A669" s="288" t="s">
        <v>721</v>
      </c>
      <c r="B669" s="285" t="s">
        <v>722</v>
      </c>
      <c r="C669" s="298" t="s">
        <v>230</v>
      </c>
      <c r="D669" s="15">
        <f>28.83*1.05</f>
        <v>30.27</v>
      </c>
      <c r="E669" s="16">
        <f t="shared" si="69"/>
        <v>6.05</v>
      </c>
      <c r="F669" s="164">
        <f t="shared" si="70"/>
        <v>36.32</v>
      </c>
      <c r="G669" s="143"/>
      <c r="H669" s="4"/>
      <c r="I669" s="72"/>
      <c r="J669" s="4"/>
      <c r="K669" s="42"/>
      <c r="L669" s="4"/>
      <c r="M669" s="4"/>
      <c r="N669" s="4"/>
      <c r="O669" s="4"/>
      <c r="Y669" s="153"/>
      <c r="BI669" s="154"/>
      <c r="BJ669" s="20"/>
    </row>
    <row r="670" spans="1:62" s="19" customFormat="1" ht="18.75" customHeight="1" x14ac:dyDescent="0.2">
      <c r="A670" s="288" t="s">
        <v>723</v>
      </c>
      <c r="B670" s="285" t="s">
        <v>724</v>
      </c>
      <c r="C670" s="298" t="s">
        <v>230</v>
      </c>
      <c r="D670" s="15">
        <f>84.15*1.05</f>
        <v>88.36</v>
      </c>
      <c r="E670" s="16">
        <f t="shared" si="69"/>
        <v>17.670000000000002</v>
      </c>
      <c r="F670" s="164">
        <f>D670+E670</f>
        <v>106.03</v>
      </c>
      <c r="G670" s="143"/>
      <c r="H670" s="4"/>
      <c r="I670" s="72"/>
      <c r="J670" s="4"/>
      <c r="K670" s="42"/>
      <c r="L670" s="4"/>
      <c r="M670" s="4"/>
      <c r="N670" s="4"/>
      <c r="O670" s="4"/>
      <c r="Y670" s="153"/>
      <c r="BI670" s="154"/>
      <c r="BJ670" s="20"/>
    </row>
    <row r="671" spans="1:62" s="19" customFormat="1" ht="28.5" customHeight="1" x14ac:dyDescent="0.2">
      <c r="A671" s="288" t="s">
        <v>725</v>
      </c>
      <c r="B671" s="285" t="s">
        <v>726</v>
      </c>
      <c r="C671" s="298" t="s">
        <v>230</v>
      </c>
      <c r="D671" s="15">
        <f>44.94*1.05</f>
        <v>47.19</v>
      </c>
      <c r="E671" s="16">
        <f t="shared" si="69"/>
        <v>9.44</v>
      </c>
      <c r="F671" s="164">
        <f t="shared" si="70"/>
        <v>56.63</v>
      </c>
      <c r="G671" s="143"/>
      <c r="H671" s="4"/>
      <c r="I671" s="72"/>
      <c r="J671" s="4"/>
      <c r="K671" s="42"/>
      <c r="L671" s="4"/>
      <c r="M671" s="4"/>
      <c r="N671" s="4"/>
      <c r="O671" s="4"/>
      <c r="Y671" s="153"/>
      <c r="BI671" s="154"/>
      <c r="BJ671" s="20"/>
    </row>
    <row r="672" spans="1:62" s="19" customFormat="1" ht="19.5" customHeight="1" x14ac:dyDescent="0.2">
      <c r="A672" s="288" t="s">
        <v>727</v>
      </c>
      <c r="B672" s="285" t="s">
        <v>728</v>
      </c>
      <c r="C672" s="298" t="s">
        <v>230</v>
      </c>
      <c r="D672" s="15">
        <f>61.14*1.05</f>
        <v>64.2</v>
      </c>
      <c r="E672" s="16">
        <f t="shared" si="69"/>
        <v>12.84</v>
      </c>
      <c r="F672" s="164">
        <f t="shared" si="70"/>
        <v>77.040000000000006</v>
      </c>
      <c r="G672" s="143"/>
      <c r="H672" s="4"/>
      <c r="I672" s="72"/>
      <c r="J672" s="4"/>
      <c r="K672" s="42"/>
      <c r="L672" s="4"/>
      <c r="M672" s="4"/>
      <c r="N672" s="4"/>
      <c r="O672" s="4"/>
      <c r="Y672" s="153"/>
      <c r="BI672" s="154"/>
      <c r="BJ672" s="20"/>
    </row>
    <row r="673" spans="1:62" s="19" customFormat="1" ht="15.75" customHeight="1" x14ac:dyDescent="0.2">
      <c r="A673" s="288" t="s">
        <v>729</v>
      </c>
      <c r="B673" s="285" t="s">
        <v>730</v>
      </c>
      <c r="C673" s="298" t="s">
        <v>230</v>
      </c>
      <c r="D673" s="15">
        <f>178.64*1.05</f>
        <v>187.57</v>
      </c>
      <c r="E673" s="16">
        <f t="shared" si="69"/>
        <v>37.51</v>
      </c>
      <c r="F673" s="164">
        <f t="shared" si="70"/>
        <v>225.08</v>
      </c>
      <c r="G673" s="143"/>
      <c r="H673" s="4"/>
      <c r="I673" s="72"/>
      <c r="J673" s="4"/>
      <c r="K673" s="42"/>
      <c r="L673" s="4"/>
      <c r="M673" s="4"/>
      <c r="N673" s="4"/>
      <c r="O673" s="4"/>
      <c r="Y673" s="153"/>
      <c r="BI673" s="154"/>
      <c r="BJ673" s="20"/>
    </row>
    <row r="674" spans="1:62" s="19" customFormat="1" ht="46.5" customHeight="1" x14ac:dyDescent="0.2">
      <c r="A674" s="288" t="s">
        <v>731</v>
      </c>
      <c r="B674" s="285" t="s">
        <v>732</v>
      </c>
      <c r="C674" s="298" t="s">
        <v>230</v>
      </c>
      <c r="D674" s="15">
        <f>106.71*1.05</f>
        <v>112.05</v>
      </c>
      <c r="E674" s="16">
        <f t="shared" si="69"/>
        <v>22.41</v>
      </c>
      <c r="F674" s="164">
        <f>D674+E674</f>
        <v>134.46</v>
      </c>
      <c r="G674" s="143"/>
      <c r="H674" s="4"/>
      <c r="I674" s="72"/>
      <c r="J674" s="4"/>
      <c r="K674" s="42"/>
      <c r="L674" s="4"/>
      <c r="M674" s="4"/>
      <c r="N674" s="4"/>
      <c r="O674" s="4"/>
      <c r="Y674" s="153"/>
      <c r="BI674" s="154"/>
      <c r="BJ674" s="20"/>
    </row>
    <row r="675" spans="1:62" s="19" customFormat="1" ht="21" customHeight="1" x14ac:dyDescent="0.2">
      <c r="A675" s="178" t="s">
        <v>41</v>
      </c>
      <c r="B675" s="312" t="s">
        <v>733</v>
      </c>
      <c r="C675" s="312"/>
      <c r="D675" s="312"/>
      <c r="E675" s="312"/>
      <c r="F675" s="312"/>
      <c r="G675" s="143"/>
      <c r="H675" s="4"/>
      <c r="I675" s="72"/>
      <c r="J675" s="4"/>
      <c r="K675" s="42"/>
      <c r="L675" s="4"/>
      <c r="M675" s="4"/>
      <c r="N675" s="4"/>
      <c r="O675" s="4"/>
      <c r="Y675" s="153"/>
      <c r="BI675" s="154"/>
      <c r="BJ675" s="20"/>
    </row>
    <row r="676" spans="1:62" s="19" customFormat="1" ht="46.5" customHeight="1" x14ac:dyDescent="0.2">
      <c r="A676" s="288" t="s">
        <v>734</v>
      </c>
      <c r="B676" s="279" t="s">
        <v>570</v>
      </c>
      <c r="C676" s="298" t="s">
        <v>230</v>
      </c>
      <c r="D676" s="15">
        <f>76.15*1.05</f>
        <v>79.959999999999994</v>
      </c>
      <c r="E676" s="16">
        <f t="shared" ref="E676:E689" si="71">D676*20%</f>
        <v>15.99</v>
      </c>
      <c r="F676" s="164">
        <f>D676+E676</f>
        <v>95.95</v>
      </c>
      <c r="G676" s="143"/>
      <c r="H676" s="4"/>
      <c r="I676" s="72"/>
      <c r="J676" s="4"/>
      <c r="K676" s="42"/>
      <c r="L676" s="4"/>
      <c r="M676" s="4"/>
      <c r="N676" s="4"/>
      <c r="O676" s="4"/>
      <c r="Y676" s="153"/>
      <c r="BI676" s="154"/>
      <c r="BJ676" s="20"/>
    </row>
    <row r="677" spans="1:62" s="19" customFormat="1" ht="19.5" customHeight="1" x14ac:dyDescent="0.2">
      <c r="A677" s="288" t="s">
        <v>735</v>
      </c>
      <c r="B677" s="285" t="s">
        <v>657</v>
      </c>
      <c r="C677" s="298" t="s">
        <v>230</v>
      </c>
      <c r="D677" s="15">
        <f>48.86*1.05</f>
        <v>51.3</v>
      </c>
      <c r="E677" s="16">
        <f t="shared" si="71"/>
        <v>10.26</v>
      </c>
      <c r="F677" s="164">
        <f t="shared" ref="F677:F686" si="72">D677+E677</f>
        <v>61.56</v>
      </c>
      <c r="G677" s="143"/>
      <c r="H677" s="4"/>
      <c r="I677" s="72"/>
      <c r="J677" s="4"/>
      <c r="K677" s="42"/>
      <c r="L677" s="4"/>
      <c r="M677" s="4"/>
      <c r="N677" s="4"/>
      <c r="O677" s="4"/>
      <c r="Y677" s="153"/>
      <c r="BI677" s="154"/>
      <c r="BJ677" s="20"/>
    </row>
    <row r="678" spans="1:62" s="19" customFormat="1" ht="21" customHeight="1" x14ac:dyDescent="0.2">
      <c r="A678" s="288" t="s">
        <v>736</v>
      </c>
      <c r="B678" s="285" t="s">
        <v>737</v>
      </c>
      <c r="C678" s="298" t="s">
        <v>230</v>
      </c>
      <c r="D678" s="15">
        <f>28.83*1.05</f>
        <v>30.27</v>
      </c>
      <c r="E678" s="16">
        <f t="shared" si="71"/>
        <v>6.05</v>
      </c>
      <c r="F678" s="164">
        <f t="shared" si="72"/>
        <v>36.32</v>
      </c>
      <c r="G678" s="143"/>
      <c r="H678" s="4"/>
      <c r="I678" s="72"/>
      <c r="J678" s="4"/>
      <c r="K678" s="42"/>
      <c r="L678" s="4"/>
      <c r="M678" s="4"/>
      <c r="N678" s="4"/>
      <c r="O678" s="4"/>
      <c r="Y678" s="153"/>
      <c r="BI678" s="154"/>
      <c r="BJ678" s="20"/>
    </row>
    <row r="679" spans="1:62" s="19" customFormat="1" ht="18" customHeight="1" x14ac:dyDescent="0.2">
      <c r="A679" s="288" t="s">
        <v>738</v>
      </c>
      <c r="B679" s="285" t="s">
        <v>739</v>
      </c>
      <c r="C679" s="298" t="s">
        <v>230</v>
      </c>
      <c r="D679" s="15">
        <f>39.53*1.05</f>
        <v>41.51</v>
      </c>
      <c r="E679" s="16">
        <f t="shared" si="71"/>
        <v>8.3000000000000007</v>
      </c>
      <c r="F679" s="164">
        <f t="shared" si="72"/>
        <v>49.81</v>
      </c>
      <c r="G679" s="143"/>
      <c r="H679" s="4"/>
      <c r="I679" s="72"/>
      <c r="J679" s="4"/>
      <c r="K679" s="42"/>
      <c r="L679" s="4"/>
      <c r="M679" s="4"/>
      <c r="N679" s="4"/>
      <c r="O679" s="4"/>
      <c r="Y679" s="153"/>
      <c r="BI679" s="154"/>
      <c r="BJ679" s="20"/>
    </row>
    <row r="680" spans="1:62" s="19" customFormat="1" ht="20.25" customHeight="1" x14ac:dyDescent="0.2">
      <c r="A680" s="288" t="s">
        <v>740</v>
      </c>
      <c r="B680" s="285" t="s">
        <v>741</v>
      </c>
      <c r="C680" s="298" t="s">
        <v>230</v>
      </c>
      <c r="D680" s="15">
        <f>61.14*1.05</f>
        <v>64.2</v>
      </c>
      <c r="E680" s="16">
        <f t="shared" si="71"/>
        <v>12.84</v>
      </c>
      <c r="F680" s="164">
        <f t="shared" si="72"/>
        <v>77.040000000000006</v>
      </c>
      <c r="G680" s="143"/>
      <c r="H680" s="4"/>
      <c r="I680" s="72"/>
      <c r="J680" s="4"/>
      <c r="K680" s="42"/>
      <c r="L680" s="4"/>
      <c r="M680" s="4"/>
      <c r="N680" s="4"/>
      <c r="O680" s="4"/>
      <c r="Y680" s="153"/>
      <c r="BI680" s="154"/>
      <c r="BJ680" s="20"/>
    </row>
    <row r="681" spans="1:62" s="19" customFormat="1" ht="27" customHeight="1" x14ac:dyDescent="0.2">
      <c r="A681" s="288" t="s">
        <v>742</v>
      </c>
      <c r="B681" s="285" t="s">
        <v>743</v>
      </c>
      <c r="C681" s="298" t="s">
        <v>230</v>
      </c>
      <c r="D681" s="15">
        <f>76.34*1.05</f>
        <v>80.16</v>
      </c>
      <c r="E681" s="16">
        <f t="shared" si="71"/>
        <v>16.03</v>
      </c>
      <c r="F681" s="164">
        <f t="shared" si="72"/>
        <v>96.19</v>
      </c>
      <c r="G681" s="143"/>
      <c r="H681" s="4"/>
      <c r="I681" s="72"/>
      <c r="J681" s="4"/>
      <c r="K681" s="42"/>
      <c r="L681" s="4"/>
      <c r="M681" s="4"/>
      <c r="N681" s="4"/>
      <c r="O681" s="4"/>
      <c r="Y681" s="153"/>
      <c r="BI681" s="154"/>
      <c r="BJ681" s="20"/>
    </row>
    <row r="682" spans="1:62" s="19" customFormat="1" ht="30" customHeight="1" x14ac:dyDescent="0.2">
      <c r="A682" s="288" t="s">
        <v>744</v>
      </c>
      <c r="B682" s="285" t="s">
        <v>745</v>
      </c>
      <c r="C682" s="298" t="s">
        <v>230</v>
      </c>
      <c r="D682" s="15">
        <f>15.36*1.05</f>
        <v>16.13</v>
      </c>
      <c r="E682" s="16">
        <f t="shared" si="71"/>
        <v>3.23</v>
      </c>
      <c r="F682" s="164">
        <f t="shared" si="72"/>
        <v>19.36</v>
      </c>
      <c r="G682" s="143"/>
      <c r="H682" s="4"/>
      <c r="I682" s="72"/>
      <c r="J682" s="4"/>
      <c r="K682" s="42"/>
      <c r="L682" s="4"/>
      <c r="M682" s="4"/>
      <c r="N682" s="4"/>
      <c r="O682" s="4"/>
      <c r="Y682" s="153"/>
      <c r="BI682" s="154"/>
      <c r="BJ682" s="20"/>
    </row>
    <row r="683" spans="1:62" s="19" customFormat="1" ht="27.75" customHeight="1" x14ac:dyDescent="0.2">
      <c r="A683" s="288" t="s">
        <v>746</v>
      </c>
      <c r="B683" s="285" t="s">
        <v>747</v>
      </c>
      <c r="C683" s="298" t="s">
        <v>230</v>
      </c>
      <c r="D683" s="15">
        <f>43.55*1.05</f>
        <v>45.73</v>
      </c>
      <c r="E683" s="16">
        <f t="shared" si="71"/>
        <v>9.15</v>
      </c>
      <c r="F683" s="164">
        <f t="shared" si="72"/>
        <v>54.88</v>
      </c>
      <c r="G683" s="143"/>
      <c r="H683" s="4"/>
      <c r="I683" s="72"/>
      <c r="J683" s="4"/>
      <c r="K683" s="42"/>
      <c r="L683" s="4"/>
      <c r="M683" s="4"/>
      <c r="N683" s="4"/>
      <c r="O683" s="4"/>
      <c r="Y683" s="153"/>
      <c r="BI683" s="154"/>
      <c r="BJ683" s="20"/>
    </row>
    <row r="684" spans="1:62" s="19" customFormat="1" ht="21" customHeight="1" x14ac:dyDescent="0.2">
      <c r="A684" s="288" t="s">
        <v>748</v>
      </c>
      <c r="B684" s="285" t="s">
        <v>749</v>
      </c>
      <c r="C684" s="298" t="s">
        <v>230</v>
      </c>
      <c r="D684" s="15">
        <f>59.66*1.05</f>
        <v>62.64</v>
      </c>
      <c r="E684" s="16">
        <f t="shared" si="71"/>
        <v>12.53</v>
      </c>
      <c r="F684" s="164">
        <f t="shared" si="72"/>
        <v>75.17</v>
      </c>
      <c r="G684" s="143"/>
      <c r="H684" s="4"/>
      <c r="I684" s="72"/>
      <c r="J684" s="4"/>
      <c r="K684" s="42"/>
      <c r="L684" s="4"/>
      <c r="M684" s="4"/>
      <c r="N684" s="4"/>
      <c r="O684" s="4"/>
      <c r="Y684" s="153"/>
      <c r="BI684" s="154"/>
      <c r="BJ684" s="20"/>
    </row>
    <row r="685" spans="1:62" s="19" customFormat="1" ht="24.75" customHeight="1" x14ac:dyDescent="0.2">
      <c r="A685" s="288" t="s">
        <v>750</v>
      </c>
      <c r="B685" s="285" t="s">
        <v>751</v>
      </c>
      <c r="C685" s="298" t="s">
        <v>230</v>
      </c>
      <c r="D685" s="15">
        <f>19.71*1.05</f>
        <v>20.7</v>
      </c>
      <c r="E685" s="16">
        <f t="shared" si="71"/>
        <v>4.1399999999999997</v>
      </c>
      <c r="F685" s="164">
        <f t="shared" si="72"/>
        <v>24.84</v>
      </c>
      <c r="G685" s="143"/>
      <c r="H685" s="4"/>
      <c r="I685" s="72"/>
      <c r="J685" s="4"/>
      <c r="K685" s="42"/>
      <c r="L685" s="4"/>
      <c r="M685" s="4"/>
      <c r="N685" s="4"/>
      <c r="O685" s="4"/>
      <c r="Y685" s="153"/>
      <c r="BI685" s="154"/>
      <c r="BJ685" s="20"/>
    </row>
    <row r="686" spans="1:62" s="19" customFormat="1" ht="21.75" customHeight="1" x14ac:dyDescent="0.2">
      <c r="A686" s="288" t="s">
        <v>752</v>
      </c>
      <c r="B686" s="285" t="s">
        <v>753</v>
      </c>
      <c r="C686" s="298" t="s">
        <v>230</v>
      </c>
      <c r="D686" s="15">
        <f>354.63*1.05</f>
        <v>372.36</v>
      </c>
      <c r="E686" s="16">
        <f t="shared" si="71"/>
        <v>74.47</v>
      </c>
      <c r="F686" s="164">
        <f t="shared" si="72"/>
        <v>446.83</v>
      </c>
      <c r="G686" s="143"/>
      <c r="H686" s="4"/>
      <c r="I686" s="72"/>
      <c r="J686" s="4"/>
      <c r="K686" s="42"/>
      <c r="L686" s="4"/>
      <c r="M686" s="4"/>
      <c r="N686" s="4"/>
      <c r="O686" s="4"/>
      <c r="Y686" s="153"/>
      <c r="BI686" s="154"/>
      <c r="BJ686" s="20"/>
    </row>
    <row r="687" spans="1:62" s="19" customFormat="1" ht="27" customHeight="1" x14ac:dyDescent="0.2">
      <c r="A687" s="288" t="s">
        <v>754</v>
      </c>
      <c r="B687" s="285" t="s">
        <v>755</v>
      </c>
      <c r="C687" s="298" t="s">
        <v>230</v>
      </c>
      <c r="D687" s="15">
        <f>175.58*1.05</f>
        <v>184.36</v>
      </c>
      <c r="E687" s="16">
        <f t="shared" si="71"/>
        <v>36.869999999999997</v>
      </c>
      <c r="F687" s="164">
        <f>D687+E687</f>
        <v>221.23</v>
      </c>
      <c r="G687" s="143"/>
      <c r="H687" s="4"/>
      <c r="I687" s="72"/>
      <c r="J687" s="4"/>
      <c r="K687" s="42"/>
      <c r="L687" s="4"/>
      <c r="M687" s="4"/>
      <c r="N687" s="4"/>
      <c r="O687" s="4"/>
      <c r="Y687" s="153"/>
      <c r="BI687" s="154"/>
      <c r="BJ687" s="20"/>
    </row>
    <row r="688" spans="1:62" s="19" customFormat="1" ht="18.75" customHeight="1" x14ac:dyDescent="0.2">
      <c r="A688" s="288" t="s">
        <v>756</v>
      </c>
      <c r="B688" s="285" t="s">
        <v>757</v>
      </c>
      <c r="C688" s="298" t="s">
        <v>230</v>
      </c>
      <c r="D688" s="15">
        <f>362.89*1.05</f>
        <v>381.03</v>
      </c>
      <c r="E688" s="16">
        <f t="shared" si="71"/>
        <v>76.209999999999994</v>
      </c>
      <c r="F688" s="164">
        <f>D688+E688</f>
        <v>457.24</v>
      </c>
      <c r="G688" s="143"/>
      <c r="H688" s="4"/>
      <c r="I688" s="72"/>
      <c r="J688" s="4"/>
      <c r="K688" s="42"/>
      <c r="L688" s="4"/>
      <c r="M688" s="4"/>
      <c r="N688" s="4"/>
      <c r="O688" s="4"/>
      <c r="Y688" s="153"/>
      <c r="BI688" s="154"/>
      <c r="BJ688" s="20"/>
    </row>
    <row r="689" spans="1:62" s="19" customFormat="1" ht="31.5" customHeight="1" x14ac:dyDescent="0.2">
      <c r="A689" s="288" t="s">
        <v>758</v>
      </c>
      <c r="B689" s="165" t="s">
        <v>759</v>
      </c>
      <c r="C689" s="298" t="s">
        <v>230</v>
      </c>
      <c r="D689" s="15">
        <f>174.21*1.05</f>
        <v>182.92</v>
      </c>
      <c r="E689" s="16">
        <f t="shared" si="71"/>
        <v>36.58</v>
      </c>
      <c r="F689" s="164">
        <f>D689+E689</f>
        <v>219.5</v>
      </c>
      <c r="G689" s="143"/>
      <c r="H689" s="4"/>
      <c r="I689" s="72"/>
      <c r="J689" s="4"/>
      <c r="K689" s="42"/>
      <c r="L689" s="4"/>
      <c r="M689" s="4"/>
      <c r="N689" s="4"/>
      <c r="O689" s="4"/>
      <c r="Y689" s="153"/>
      <c r="BI689" s="154"/>
      <c r="BJ689" s="20"/>
    </row>
    <row r="690" spans="1:62" s="19" customFormat="1" ht="23.25" customHeight="1" x14ac:dyDescent="0.2">
      <c r="A690" s="178" t="s">
        <v>43</v>
      </c>
      <c r="B690" s="312" t="s">
        <v>760</v>
      </c>
      <c r="C690" s="312"/>
      <c r="D690" s="312"/>
      <c r="E690" s="312"/>
      <c r="F690" s="312"/>
      <c r="G690" s="143"/>
      <c r="H690" s="4"/>
      <c r="I690" s="72"/>
      <c r="J690" s="4"/>
      <c r="K690" s="42"/>
      <c r="L690" s="4"/>
      <c r="M690" s="4"/>
      <c r="N690" s="4"/>
      <c r="O690" s="4"/>
      <c r="Y690" s="153"/>
      <c r="BI690" s="154"/>
      <c r="BJ690" s="20"/>
    </row>
    <row r="691" spans="1:62" s="19" customFormat="1" ht="23.25" customHeight="1" x14ac:dyDescent="0.2">
      <c r="A691" s="288" t="s">
        <v>761</v>
      </c>
      <c r="B691" s="285" t="s">
        <v>762</v>
      </c>
      <c r="C691" s="298" t="s">
        <v>230</v>
      </c>
      <c r="D691" s="15">
        <f>49.68*1.05</f>
        <v>52.16</v>
      </c>
      <c r="E691" s="16">
        <f t="shared" ref="E691:E703" si="73">D691*20%</f>
        <v>10.43</v>
      </c>
      <c r="F691" s="164">
        <f t="shared" ref="F691:F700" si="74">D691+E691</f>
        <v>62.59</v>
      </c>
      <c r="G691" s="143"/>
      <c r="H691" s="4"/>
      <c r="I691" s="72"/>
      <c r="J691" s="4"/>
      <c r="K691" s="42"/>
      <c r="L691" s="4"/>
      <c r="M691" s="4"/>
      <c r="N691" s="4"/>
      <c r="O691" s="4"/>
      <c r="Y691" s="153"/>
      <c r="BI691" s="154"/>
      <c r="BJ691" s="20"/>
    </row>
    <row r="692" spans="1:62" s="19" customFormat="1" ht="21" customHeight="1" x14ac:dyDescent="0.2">
      <c r="A692" s="288" t="s">
        <v>763</v>
      </c>
      <c r="B692" s="285" t="s">
        <v>764</v>
      </c>
      <c r="C692" s="298" t="s">
        <v>230</v>
      </c>
      <c r="D692" s="15">
        <f>59.66*1.05</f>
        <v>62.64</v>
      </c>
      <c r="E692" s="16">
        <f t="shared" si="73"/>
        <v>12.53</v>
      </c>
      <c r="F692" s="164">
        <f t="shared" si="74"/>
        <v>75.17</v>
      </c>
      <c r="G692" s="143"/>
      <c r="H692" s="4"/>
      <c r="I692" s="72"/>
      <c r="J692" s="4"/>
      <c r="K692" s="42"/>
      <c r="L692" s="4"/>
      <c r="M692" s="4"/>
      <c r="N692" s="4"/>
      <c r="O692" s="4"/>
      <c r="Y692" s="153"/>
      <c r="BI692" s="154"/>
      <c r="BJ692" s="20"/>
    </row>
    <row r="693" spans="1:62" s="19" customFormat="1" ht="30" customHeight="1" x14ac:dyDescent="0.2">
      <c r="A693" s="288" t="s">
        <v>765</v>
      </c>
      <c r="B693" s="285" t="s">
        <v>766</v>
      </c>
      <c r="C693" s="298" t="s">
        <v>230</v>
      </c>
      <c r="D693" s="15">
        <f>85.2*1.05</f>
        <v>89.46</v>
      </c>
      <c r="E693" s="16">
        <f t="shared" si="73"/>
        <v>17.89</v>
      </c>
      <c r="F693" s="164">
        <f t="shared" si="74"/>
        <v>107.35</v>
      </c>
      <c r="G693" s="143"/>
      <c r="H693" s="4"/>
      <c r="I693" s="72"/>
      <c r="J693" s="4"/>
      <c r="K693" s="42"/>
      <c r="L693" s="4"/>
      <c r="M693" s="4"/>
      <c r="N693" s="4"/>
      <c r="O693" s="4"/>
      <c r="Y693" s="153"/>
      <c r="BI693" s="154"/>
      <c r="BJ693" s="20"/>
    </row>
    <row r="694" spans="1:62" s="19" customFormat="1" ht="21" customHeight="1" x14ac:dyDescent="0.2">
      <c r="A694" s="288" t="s">
        <v>767</v>
      </c>
      <c r="B694" s="285" t="s">
        <v>768</v>
      </c>
      <c r="C694" s="298" t="s">
        <v>230</v>
      </c>
      <c r="D694" s="15">
        <f>109.84*1.05</f>
        <v>115.33</v>
      </c>
      <c r="E694" s="16">
        <f t="shared" si="73"/>
        <v>23.07</v>
      </c>
      <c r="F694" s="164">
        <f t="shared" si="74"/>
        <v>138.4</v>
      </c>
      <c r="G694" s="143"/>
      <c r="H694" s="4"/>
      <c r="I694" s="72"/>
      <c r="J694" s="4"/>
      <c r="K694" s="42"/>
      <c r="L694" s="4"/>
      <c r="M694" s="4"/>
      <c r="N694" s="4"/>
      <c r="O694" s="4"/>
      <c r="Y694" s="153"/>
      <c r="BI694" s="154"/>
      <c r="BJ694" s="20"/>
    </row>
    <row r="695" spans="1:62" s="19" customFormat="1" ht="18" customHeight="1" x14ac:dyDescent="0.2">
      <c r="A695" s="288" t="s">
        <v>769</v>
      </c>
      <c r="B695" s="285" t="s">
        <v>770</v>
      </c>
      <c r="C695" s="298" t="s">
        <v>230</v>
      </c>
      <c r="D695" s="15">
        <f>81.47*1.05</f>
        <v>85.54</v>
      </c>
      <c r="E695" s="16">
        <f t="shared" si="73"/>
        <v>17.11</v>
      </c>
      <c r="F695" s="164">
        <f t="shared" si="74"/>
        <v>102.65</v>
      </c>
      <c r="G695" s="143"/>
      <c r="H695" s="4"/>
      <c r="I695" s="72"/>
      <c r="J695" s="4"/>
      <c r="K695" s="42"/>
      <c r="L695" s="4"/>
      <c r="M695" s="4"/>
      <c r="N695" s="4"/>
      <c r="O695" s="4"/>
      <c r="Y695" s="153"/>
      <c r="BI695" s="154"/>
      <c r="BJ695" s="20"/>
    </row>
    <row r="696" spans="1:62" s="19" customFormat="1" ht="19.5" customHeight="1" x14ac:dyDescent="0.2">
      <c r="A696" s="288" t="s">
        <v>771</v>
      </c>
      <c r="B696" s="285" t="s">
        <v>689</v>
      </c>
      <c r="C696" s="298" t="s">
        <v>230</v>
      </c>
      <c r="D696" s="15">
        <f>28.83*1.05</f>
        <v>30.27</v>
      </c>
      <c r="E696" s="16">
        <f t="shared" si="73"/>
        <v>6.05</v>
      </c>
      <c r="F696" s="164">
        <f t="shared" si="74"/>
        <v>36.32</v>
      </c>
      <c r="G696" s="143"/>
      <c r="H696" s="4"/>
      <c r="I696" s="72"/>
      <c r="J696" s="4"/>
      <c r="K696" s="42"/>
      <c r="L696" s="4"/>
      <c r="M696" s="4"/>
      <c r="N696" s="4"/>
      <c r="O696" s="4"/>
      <c r="Y696" s="153"/>
      <c r="BI696" s="154"/>
      <c r="BJ696" s="20"/>
    </row>
    <row r="697" spans="1:62" s="19" customFormat="1" ht="24" customHeight="1" x14ac:dyDescent="0.2">
      <c r="A697" s="288" t="s">
        <v>772</v>
      </c>
      <c r="B697" s="285" t="s">
        <v>773</v>
      </c>
      <c r="C697" s="298" t="s">
        <v>230</v>
      </c>
      <c r="D697" s="15">
        <f>59.28*1.05</f>
        <v>62.24</v>
      </c>
      <c r="E697" s="16">
        <f t="shared" si="73"/>
        <v>12.45</v>
      </c>
      <c r="F697" s="164">
        <f t="shared" si="74"/>
        <v>74.69</v>
      </c>
      <c r="G697" s="143"/>
      <c r="H697" s="4"/>
      <c r="I697" s="72"/>
      <c r="J697" s="4"/>
      <c r="K697" s="42"/>
      <c r="L697" s="4"/>
      <c r="M697" s="4"/>
      <c r="N697" s="4"/>
      <c r="O697" s="4"/>
      <c r="Y697" s="153"/>
      <c r="BI697" s="154"/>
      <c r="BJ697" s="20"/>
    </row>
    <row r="698" spans="1:62" s="19" customFormat="1" ht="26.25" customHeight="1" x14ac:dyDescent="0.2">
      <c r="A698" s="288" t="s">
        <v>774</v>
      </c>
      <c r="B698" s="285" t="s">
        <v>775</v>
      </c>
      <c r="C698" s="298" t="s">
        <v>230</v>
      </c>
      <c r="D698" s="15">
        <f>121.13*1.05</f>
        <v>127.19</v>
      </c>
      <c r="E698" s="16">
        <f t="shared" si="73"/>
        <v>25.44</v>
      </c>
      <c r="F698" s="164">
        <f t="shared" si="74"/>
        <v>152.63</v>
      </c>
      <c r="G698" s="143"/>
      <c r="H698" s="4"/>
      <c r="I698" s="72"/>
      <c r="J698" s="4"/>
      <c r="K698" s="42"/>
      <c r="L698" s="4"/>
      <c r="M698" s="4"/>
      <c r="N698" s="4"/>
      <c r="O698" s="4"/>
      <c r="Y698" s="153"/>
      <c r="BI698" s="154"/>
      <c r="BJ698" s="20"/>
    </row>
    <row r="699" spans="1:62" s="19" customFormat="1" ht="26.25" customHeight="1" x14ac:dyDescent="0.2">
      <c r="A699" s="288" t="s">
        <v>776</v>
      </c>
      <c r="B699" s="285" t="s">
        <v>657</v>
      </c>
      <c r="C699" s="298" t="s">
        <v>230</v>
      </c>
      <c r="D699" s="15">
        <f>48.86*1.05</f>
        <v>51.3</v>
      </c>
      <c r="E699" s="16">
        <f t="shared" si="73"/>
        <v>10.26</v>
      </c>
      <c r="F699" s="164">
        <f t="shared" si="74"/>
        <v>61.56</v>
      </c>
      <c r="G699" s="143"/>
      <c r="H699" s="4"/>
      <c r="I699" s="72"/>
      <c r="J699" s="4"/>
      <c r="K699" s="42"/>
      <c r="L699" s="4"/>
      <c r="M699" s="4"/>
      <c r="N699" s="4"/>
      <c r="O699" s="4"/>
      <c r="Y699" s="153"/>
      <c r="BI699" s="154"/>
      <c r="BJ699" s="20"/>
    </row>
    <row r="700" spans="1:62" s="19" customFormat="1" ht="20.25" customHeight="1" x14ac:dyDescent="0.2">
      <c r="A700" s="288" t="s">
        <v>777</v>
      </c>
      <c r="B700" s="285" t="s">
        <v>778</v>
      </c>
      <c r="C700" s="298" t="s">
        <v>230</v>
      </c>
      <c r="D700" s="15">
        <f>288.93*1.05</f>
        <v>303.38</v>
      </c>
      <c r="E700" s="16">
        <f t="shared" si="73"/>
        <v>60.68</v>
      </c>
      <c r="F700" s="164">
        <f t="shared" si="74"/>
        <v>364.06</v>
      </c>
      <c r="G700" s="143"/>
      <c r="H700" s="4"/>
      <c r="I700" s="72"/>
      <c r="J700" s="4"/>
      <c r="K700" s="42"/>
      <c r="L700" s="4"/>
      <c r="M700" s="4"/>
      <c r="N700" s="4"/>
      <c r="O700" s="4"/>
      <c r="Y700" s="153"/>
      <c r="BI700" s="154"/>
      <c r="BJ700" s="20"/>
    </row>
    <row r="701" spans="1:62" s="19" customFormat="1" ht="21" customHeight="1" x14ac:dyDescent="0.2">
      <c r="A701" s="288" t="s">
        <v>779</v>
      </c>
      <c r="B701" s="285" t="s">
        <v>780</v>
      </c>
      <c r="C701" s="298" t="s">
        <v>230</v>
      </c>
      <c r="D701" s="15">
        <f>120.74*1.05</f>
        <v>126.78</v>
      </c>
      <c r="E701" s="16">
        <f t="shared" si="73"/>
        <v>25.36</v>
      </c>
      <c r="F701" s="164">
        <f>D701+E701</f>
        <v>152.13999999999999</v>
      </c>
      <c r="G701" s="143"/>
      <c r="H701" s="4"/>
      <c r="I701" s="72"/>
      <c r="J701" s="4"/>
      <c r="K701" s="42"/>
      <c r="L701" s="4"/>
      <c r="M701" s="4"/>
      <c r="N701" s="4"/>
      <c r="O701" s="4"/>
      <c r="Y701" s="153"/>
      <c r="BI701" s="154"/>
      <c r="BJ701" s="20"/>
    </row>
    <row r="702" spans="1:62" s="19" customFormat="1" ht="18.75" customHeight="1" x14ac:dyDescent="0.2">
      <c r="A702" s="288" t="s">
        <v>781</v>
      </c>
      <c r="B702" s="285" t="s">
        <v>782</v>
      </c>
      <c r="C702" s="298" t="s">
        <v>230</v>
      </c>
      <c r="D702" s="15">
        <f>128.02*1.05</f>
        <v>134.41999999999999</v>
      </c>
      <c r="E702" s="16">
        <f t="shared" si="73"/>
        <v>26.88</v>
      </c>
      <c r="F702" s="164">
        <f>D702+E702</f>
        <v>161.30000000000001</v>
      </c>
      <c r="G702" s="143"/>
      <c r="H702" s="4"/>
      <c r="I702" s="72"/>
      <c r="J702" s="4"/>
      <c r="K702" s="42"/>
      <c r="L702" s="4"/>
      <c r="M702" s="4"/>
      <c r="N702" s="4"/>
      <c r="O702" s="4"/>
      <c r="Y702" s="153"/>
      <c r="BI702" s="154"/>
      <c r="BJ702" s="20"/>
    </row>
    <row r="703" spans="1:62" s="19" customFormat="1" ht="24.75" customHeight="1" x14ac:dyDescent="0.2">
      <c r="A703" s="288" t="s">
        <v>783</v>
      </c>
      <c r="B703" s="285" t="s">
        <v>784</v>
      </c>
      <c r="C703" s="298" t="s">
        <v>230</v>
      </c>
      <c r="D703" s="15">
        <f>38.4*1.05</f>
        <v>40.32</v>
      </c>
      <c r="E703" s="16">
        <f t="shared" si="73"/>
        <v>8.06</v>
      </c>
      <c r="F703" s="164">
        <f>D703+E703</f>
        <v>48.38</v>
      </c>
      <c r="G703" s="143"/>
      <c r="H703" s="4"/>
      <c r="I703" s="72"/>
      <c r="J703" s="4"/>
      <c r="K703" s="42"/>
      <c r="L703" s="4"/>
      <c r="M703" s="4"/>
      <c r="N703" s="4"/>
      <c r="O703" s="4"/>
      <c r="Y703" s="153"/>
      <c r="BI703" s="154"/>
      <c r="BJ703" s="20"/>
    </row>
    <row r="704" spans="1:62" s="19" customFormat="1" ht="21.75" customHeight="1" x14ac:dyDescent="0.2">
      <c r="A704" s="178" t="s">
        <v>45</v>
      </c>
      <c r="B704" s="312" t="s">
        <v>785</v>
      </c>
      <c r="C704" s="312"/>
      <c r="D704" s="312"/>
      <c r="E704" s="312"/>
      <c r="F704" s="312"/>
      <c r="G704" s="143"/>
      <c r="H704" s="4"/>
      <c r="I704" s="72"/>
      <c r="J704" s="4"/>
      <c r="K704" s="42"/>
      <c r="L704" s="4"/>
      <c r="M704" s="4"/>
      <c r="N704" s="4"/>
      <c r="O704" s="4"/>
      <c r="Y704" s="153"/>
      <c r="BI704" s="154"/>
      <c r="BJ704" s="20"/>
    </row>
    <row r="705" spans="1:62" s="19" customFormat="1" ht="46.5" customHeight="1" x14ac:dyDescent="0.2">
      <c r="A705" s="288" t="s">
        <v>786</v>
      </c>
      <c r="B705" s="165" t="s">
        <v>787</v>
      </c>
      <c r="C705" s="298" t="s">
        <v>230</v>
      </c>
      <c r="D705" s="15">
        <f>755.23*1.05</f>
        <v>792.99</v>
      </c>
      <c r="E705" s="16">
        <f t="shared" ref="E705:E732" si="75">D705*20%</f>
        <v>158.6</v>
      </c>
      <c r="F705" s="164">
        <f t="shared" ref="F705:F730" si="76">D705+E705</f>
        <v>951.59</v>
      </c>
      <c r="G705" s="143"/>
      <c r="H705" s="4"/>
      <c r="I705" s="72"/>
      <c r="J705" s="4"/>
      <c r="K705" s="42"/>
      <c r="L705" s="4"/>
      <c r="M705" s="4"/>
      <c r="N705" s="4"/>
      <c r="O705" s="4"/>
      <c r="Y705" s="153"/>
      <c r="BI705" s="154"/>
      <c r="BJ705" s="20"/>
    </row>
    <row r="706" spans="1:62" s="19" customFormat="1" ht="46.5" customHeight="1" x14ac:dyDescent="0.2">
      <c r="A706" s="288" t="s">
        <v>788</v>
      </c>
      <c r="B706" s="285" t="s">
        <v>789</v>
      </c>
      <c r="C706" s="298" t="s">
        <v>230</v>
      </c>
      <c r="D706" s="15">
        <f>608.89*1.05</f>
        <v>639.33000000000004</v>
      </c>
      <c r="E706" s="16">
        <f t="shared" si="75"/>
        <v>127.87</v>
      </c>
      <c r="F706" s="164">
        <f t="shared" si="76"/>
        <v>767.2</v>
      </c>
      <c r="G706" s="143"/>
      <c r="H706" s="4"/>
      <c r="I706" s="72"/>
      <c r="J706" s="4"/>
      <c r="K706" s="42"/>
      <c r="L706" s="4"/>
      <c r="M706" s="4"/>
      <c r="N706" s="4"/>
      <c r="O706" s="4"/>
      <c r="Y706" s="153"/>
      <c r="BI706" s="154"/>
      <c r="BJ706" s="20"/>
    </row>
    <row r="707" spans="1:62" s="19" customFormat="1" ht="37.5" customHeight="1" x14ac:dyDescent="0.2">
      <c r="A707" s="288" t="s">
        <v>790</v>
      </c>
      <c r="B707" s="285" t="s">
        <v>791</v>
      </c>
      <c r="C707" s="298" t="s">
        <v>230</v>
      </c>
      <c r="D707" s="15">
        <f>391*1.05</f>
        <v>410.55</v>
      </c>
      <c r="E707" s="16">
        <f t="shared" si="75"/>
        <v>82.11</v>
      </c>
      <c r="F707" s="164">
        <f t="shared" si="76"/>
        <v>492.66</v>
      </c>
      <c r="G707" s="143"/>
      <c r="H707" s="4"/>
      <c r="I707" s="72"/>
      <c r="J707" s="4"/>
      <c r="K707" s="42"/>
      <c r="L707" s="4"/>
      <c r="M707" s="4"/>
      <c r="N707" s="4"/>
      <c r="O707" s="4"/>
      <c r="Y707" s="153"/>
      <c r="BI707" s="154"/>
      <c r="BJ707" s="20"/>
    </row>
    <row r="708" spans="1:62" s="19" customFormat="1" ht="33" customHeight="1" x14ac:dyDescent="0.2">
      <c r="A708" s="288" t="s">
        <v>792</v>
      </c>
      <c r="B708" s="285" t="s">
        <v>793</v>
      </c>
      <c r="C708" s="298" t="s">
        <v>230</v>
      </c>
      <c r="D708" s="15">
        <f>342*1.05</f>
        <v>359.1</v>
      </c>
      <c r="E708" s="16">
        <f t="shared" si="75"/>
        <v>71.819999999999993</v>
      </c>
      <c r="F708" s="164">
        <f t="shared" si="76"/>
        <v>430.92</v>
      </c>
      <c r="G708" s="143"/>
      <c r="H708" s="4"/>
      <c r="I708" s="72"/>
      <c r="J708" s="4"/>
      <c r="K708" s="42"/>
      <c r="L708" s="4"/>
      <c r="M708" s="4"/>
      <c r="N708" s="4"/>
      <c r="O708" s="4"/>
      <c r="Y708" s="153"/>
      <c r="BI708" s="154"/>
      <c r="BJ708" s="20"/>
    </row>
    <row r="709" spans="1:62" s="19" customFormat="1" ht="35.25" customHeight="1" x14ac:dyDescent="0.2">
      <c r="A709" s="288" t="s">
        <v>794</v>
      </c>
      <c r="B709" s="285" t="s">
        <v>795</v>
      </c>
      <c r="C709" s="298" t="s">
        <v>230</v>
      </c>
      <c r="D709" s="15">
        <f>593.17*1.05</f>
        <v>622.83000000000004</v>
      </c>
      <c r="E709" s="16">
        <f t="shared" si="75"/>
        <v>124.57</v>
      </c>
      <c r="F709" s="164">
        <f t="shared" si="76"/>
        <v>747.4</v>
      </c>
      <c r="G709" s="143"/>
      <c r="H709" s="4"/>
      <c r="I709" s="72"/>
      <c r="J709" s="4"/>
      <c r="K709" s="42"/>
      <c r="L709" s="4"/>
      <c r="M709" s="4"/>
      <c r="N709" s="4"/>
      <c r="O709" s="4"/>
      <c r="Y709" s="153"/>
      <c r="BI709" s="154"/>
      <c r="BJ709" s="20"/>
    </row>
    <row r="710" spans="1:62" s="19" customFormat="1" ht="32.25" customHeight="1" x14ac:dyDescent="0.2">
      <c r="A710" s="288" t="s">
        <v>796</v>
      </c>
      <c r="B710" s="285" t="s">
        <v>309</v>
      </c>
      <c r="C710" s="298" t="s">
        <v>230</v>
      </c>
      <c r="D710" s="15">
        <f>407.77*1.05</f>
        <v>428.16</v>
      </c>
      <c r="E710" s="16">
        <f t="shared" si="75"/>
        <v>85.63</v>
      </c>
      <c r="F710" s="164">
        <f t="shared" si="76"/>
        <v>513.79</v>
      </c>
      <c r="G710" s="143"/>
      <c r="H710" s="4"/>
      <c r="I710" s="72"/>
      <c r="J710" s="4"/>
      <c r="K710" s="42"/>
      <c r="L710" s="4"/>
      <c r="M710" s="4"/>
      <c r="N710" s="4"/>
      <c r="O710" s="4"/>
      <c r="Y710" s="153"/>
      <c r="BI710" s="154"/>
      <c r="BJ710" s="20"/>
    </row>
    <row r="711" spans="1:62" s="19" customFormat="1" ht="46.5" customHeight="1" x14ac:dyDescent="0.2">
      <c r="A711" s="288" t="s">
        <v>797</v>
      </c>
      <c r="B711" s="281" t="s">
        <v>798</v>
      </c>
      <c r="C711" s="298" t="s">
        <v>230</v>
      </c>
      <c r="D711" s="15">
        <f>299.85*1.05</f>
        <v>314.83999999999997</v>
      </c>
      <c r="E711" s="16">
        <f t="shared" si="75"/>
        <v>62.97</v>
      </c>
      <c r="F711" s="164">
        <f t="shared" si="76"/>
        <v>377.81</v>
      </c>
      <c r="G711" s="143"/>
      <c r="H711" s="4"/>
      <c r="I711" s="72"/>
      <c r="J711" s="4"/>
      <c r="K711" s="42"/>
      <c r="L711" s="4"/>
      <c r="M711" s="4"/>
      <c r="N711" s="4"/>
      <c r="O711" s="4"/>
      <c r="Y711" s="153"/>
      <c r="BI711" s="154"/>
      <c r="BJ711" s="20"/>
    </row>
    <row r="712" spans="1:62" s="19" customFormat="1" ht="32.25" customHeight="1" x14ac:dyDescent="0.2">
      <c r="A712" s="288" t="s">
        <v>799</v>
      </c>
      <c r="B712" s="281" t="s">
        <v>800</v>
      </c>
      <c r="C712" s="298" t="s">
        <v>230</v>
      </c>
      <c r="D712" s="15">
        <f>59.11*1.05</f>
        <v>62.07</v>
      </c>
      <c r="E712" s="16">
        <f t="shared" si="75"/>
        <v>12.41</v>
      </c>
      <c r="F712" s="164">
        <f t="shared" si="76"/>
        <v>74.48</v>
      </c>
      <c r="G712" s="143"/>
      <c r="H712" s="4"/>
      <c r="I712" s="72"/>
      <c r="J712" s="4"/>
      <c r="K712" s="42"/>
      <c r="L712" s="4"/>
      <c r="M712" s="4"/>
      <c r="N712" s="4"/>
      <c r="O712" s="4"/>
      <c r="Y712" s="153"/>
      <c r="BI712" s="154"/>
      <c r="BJ712" s="20"/>
    </row>
    <row r="713" spans="1:62" s="19" customFormat="1" ht="20.25" customHeight="1" x14ac:dyDescent="0.2">
      <c r="A713" s="288" t="s">
        <v>801</v>
      </c>
      <c r="B713" s="281" t="s">
        <v>802</v>
      </c>
      <c r="C713" s="298" t="s">
        <v>230</v>
      </c>
      <c r="D713" s="15">
        <f>37.4*1.05</f>
        <v>39.270000000000003</v>
      </c>
      <c r="E713" s="16">
        <f t="shared" si="75"/>
        <v>7.85</v>
      </c>
      <c r="F713" s="164">
        <f t="shared" si="76"/>
        <v>47.12</v>
      </c>
      <c r="G713" s="143"/>
      <c r="H713" s="4"/>
      <c r="I713" s="72"/>
      <c r="J713" s="4"/>
      <c r="K713" s="42"/>
      <c r="L713" s="4"/>
      <c r="M713" s="4"/>
      <c r="N713" s="4"/>
      <c r="O713" s="4"/>
      <c r="Y713" s="153"/>
      <c r="BI713" s="154"/>
      <c r="BJ713" s="20"/>
    </row>
    <row r="714" spans="1:62" s="19" customFormat="1" ht="20.25" customHeight="1" x14ac:dyDescent="0.2">
      <c r="A714" s="288" t="s">
        <v>803</v>
      </c>
      <c r="B714" s="281" t="s">
        <v>804</v>
      </c>
      <c r="C714" s="298" t="s">
        <v>230</v>
      </c>
      <c r="D714" s="15">
        <f>104.6*1.05</f>
        <v>109.83</v>
      </c>
      <c r="E714" s="16">
        <f t="shared" si="75"/>
        <v>21.97</v>
      </c>
      <c r="F714" s="164">
        <f t="shared" si="76"/>
        <v>131.80000000000001</v>
      </c>
      <c r="G714" s="143"/>
      <c r="H714" s="4"/>
      <c r="I714" s="72"/>
      <c r="J714" s="4"/>
      <c r="K714" s="42"/>
      <c r="L714" s="4"/>
      <c r="M714" s="4"/>
      <c r="N714" s="4"/>
      <c r="O714" s="4"/>
      <c r="Y714" s="153"/>
      <c r="BI714" s="154"/>
      <c r="BJ714" s="20"/>
    </row>
    <row r="715" spans="1:62" s="19" customFormat="1" ht="23.25" customHeight="1" x14ac:dyDescent="0.2">
      <c r="A715" s="288" t="s">
        <v>805</v>
      </c>
      <c r="B715" s="281" t="s">
        <v>806</v>
      </c>
      <c r="C715" s="298" t="s">
        <v>230</v>
      </c>
      <c r="D715" s="15">
        <f>60.2*1.05</f>
        <v>63.21</v>
      </c>
      <c r="E715" s="16">
        <f t="shared" si="75"/>
        <v>12.64</v>
      </c>
      <c r="F715" s="164">
        <f t="shared" si="76"/>
        <v>75.849999999999994</v>
      </c>
      <c r="G715" s="143"/>
      <c r="H715" s="4"/>
      <c r="I715" s="72"/>
      <c r="J715" s="4"/>
      <c r="K715" s="42"/>
      <c r="L715" s="4"/>
      <c r="M715" s="4"/>
      <c r="N715" s="4"/>
      <c r="O715" s="4"/>
      <c r="Y715" s="153"/>
      <c r="BI715" s="154"/>
      <c r="BJ715" s="20"/>
    </row>
    <row r="716" spans="1:62" s="19" customFormat="1" ht="17.25" customHeight="1" x14ac:dyDescent="0.2">
      <c r="A716" s="288" t="s">
        <v>807</v>
      </c>
      <c r="B716" s="281" t="s">
        <v>749</v>
      </c>
      <c r="C716" s="298" t="s">
        <v>230</v>
      </c>
      <c r="D716" s="15">
        <f>43.8*1.05</f>
        <v>45.99</v>
      </c>
      <c r="E716" s="16">
        <f t="shared" si="75"/>
        <v>9.1999999999999993</v>
      </c>
      <c r="F716" s="164">
        <f t="shared" si="76"/>
        <v>55.19</v>
      </c>
      <c r="G716" s="143"/>
      <c r="H716" s="4"/>
      <c r="I716" s="72"/>
      <c r="J716" s="4"/>
      <c r="K716" s="42"/>
      <c r="L716" s="4"/>
      <c r="M716" s="4"/>
      <c r="N716" s="4"/>
      <c r="O716" s="4"/>
      <c r="Y716" s="153"/>
      <c r="BI716" s="154"/>
      <c r="BJ716" s="20"/>
    </row>
    <row r="717" spans="1:62" s="19" customFormat="1" ht="21" customHeight="1" x14ac:dyDescent="0.2">
      <c r="A717" s="288" t="s">
        <v>808</v>
      </c>
      <c r="B717" s="281" t="s">
        <v>809</v>
      </c>
      <c r="C717" s="298" t="s">
        <v>230</v>
      </c>
      <c r="D717" s="15">
        <f>106*1.05</f>
        <v>111.3</v>
      </c>
      <c r="E717" s="16">
        <f t="shared" si="75"/>
        <v>22.26</v>
      </c>
      <c r="F717" s="164">
        <f t="shared" si="76"/>
        <v>133.56</v>
      </c>
      <c r="G717" s="143"/>
      <c r="H717" s="4"/>
      <c r="I717" s="72"/>
      <c r="J717" s="4"/>
      <c r="K717" s="42"/>
      <c r="L717" s="4"/>
      <c r="M717" s="4"/>
      <c r="N717" s="4"/>
      <c r="O717" s="4"/>
      <c r="Y717" s="153"/>
      <c r="BI717" s="154"/>
      <c r="BJ717" s="20"/>
    </row>
    <row r="718" spans="1:62" s="19" customFormat="1" ht="20.25" customHeight="1" x14ac:dyDescent="0.2">
      <c r="A718" s="288" t="s">
        <v>810</v>
      </c>
      <c r="B718" s="281" t="s">
        <v>811</v>
      </c>
      <c r="C718" s="298" t="s">
        <v>230</v>
      </c>
      <c r="D718" s="15">
        <f>123*1.05</f>
        <v>129.15</v>
      </c>
      <c r="E718" s="16">
        <f t="shared" si="75"/>
        <v>25.83</v>
      </c>
      <c r="F718" s="164">
        <f t="shared" si="76"/>
        <v>154.97999999999999</v>
      </c>
      <c r="G718" s="143"/>
      <c r="H718" s="4"/>
      <c r="I718" s="72"/>
      <c r="J718" s="4"/>
      <c r="K718" s="42"/>
      <c r="L718" s="4"/>
      <c r="M718" s="4"/>
      <c r="N718" s="4"/>
      <c r="O718" s="4"/>
      <c r="Y718" s="153"/>
      <c r="BI718" s="154"/>
      <c r="BJ718" s="20"/>
    </row>
    <row r="719" spans="1:62" s="19" customFormat="1" ht="18.75" customHeight="1" x14ac:dyDescent="0.2">
      <c r="A719" s="288" t="s">
        <v>812</v>
      </c>
      <c r="B719" s="281" t="s">
        <v>813</v>
      </c>
      <c r="C719" s="298" t="s">
        <v>230</v>
      </c>
      <c r="D719" s="15">
        <f>78.3*1.05</f>
        <v>82.22</v>
      </c>
      <c r="E719" s="16">
        <f t="shared" si="75"/>
        <v>16.440000000000001</v>
      </c>
      <c r="F719" s="164">
        <f t="shared" si="76"/>
        <v>98.66</v>
      </c>
      <c r="G719" s="143"/>
      <c r="H719" s="4"/>
      <c r="I719" s="72"/>
      <c r="J719" s="4"/>
      <c r="K719" s="42"/>
      <c r="L719" s="4"/>
      <c r="M719" s="4"/>
      <c r="N719" s="4"/>
      <c r="O719" s="4"/>
      <c r="Y719" s="153"/>
      <c r="BI719" s="154"/>
      <c r="BJ719" s="20"/>
    </row>
    <row r="720" spans="1:62" s="19" customFormat="1" ht="33.75" customHeight="1" x14ac:dyDescent="0.2">
      <c r="A720" s="288" t="s">
        <v>814</v>
      </c>
      <c r="B720" s="281" t="s">
        <v>815</v>
      </c>
      <c r="C720" s="298" t="s">
        <v>230</v>
      </c>
      <c r="D720" s="15">
        <f>83.4*1.05</f>
        <v>87.57</v>
      </c>
      <c r="E720" s="16">
        <f t="shared" si="75"/>
        <v>17.510000000000002</v>
      </c>
      <c r="F720" s="164">
        <f t="shared" si="76"/>
        <v>105.08</v>
      </c>
      <c r="G720" s="143"/>
      <c r="H720" s="4"/>
      <c r="I720" s="72"/>
      <c r="J720" s="4"/>
      <c r="K720" s="42"/>
      <c r="L720" s="4"/>
      <c r="M720" s="4"/>
      <c r="N720" s="4"/>
      <c r="O720" s="4"/>
      <c r="Y720" s="153"/>
      <c r="BI720" s="154"/>
      <c r="BJ720" s="20"/>
    </row>
    <row r="721" spans="1:62" s="19" customFormat="1" ht="19.5" customHeight="1" x14ac:dyDescent="0.2">
      <c r="A721" s="288" t="s">
        <v>816</v>
      </c>
      <c r="B721" s="281" t="s">
        <v>817</v>
      </c>
      <c r="C721" s="298" t="s">
        <v>230</v>
      </c>
      <c r="D721" s="15">
        <f>56.2*1.05</f>
        <v>59.01</v>
      </c>
      <c r="E721" s="16">
        <f t="shared" si="75"/>
        <v>11.8</v>
      </c>
      <c r="F721" s="164">
        <f t="shared" si="76"/>
        <v>70.81</v>
      </c>
      <c r="G721" s="143"/>
      <c r="H721" s="4"/>
      <c r="I721" s="72"/>
      <c r="J721" s="4"/>
      <c r="K721" s="42"/>
      <c r="L721" s="4"/>
      <c r="M721" s="4"/>
      <c r="N721" s="4"/>
      <c r="O721" s="4"/>
      <c r="Y721" s="153"/>
      <c r="BI721" s="154"/>
      <c r="BJ721" s="20"/>
    </row>
    <row r="722" spans="1:62" s="19" customFormat="1" ht="15.75" customHeight="1" x14ac:dyDescent="0.2">
      <c r="A722" s="288" t="s">
        <v>818</v>
      </c>
      <c r="B722" s="281" t="s">
        <v>819</v>
      </c>
      <c r="C722" s="298" t="s">
        <v>230</v>
      </c>
      <c r="D722" s="15">
        <f>63.6*1.05</f>
        <v>66.78</v>
      </c>
      <c r="E722" s="16">
        <f t="shared" si="75"/>
        <v>13.36</v>
      </c>
      <c r="F722" s="164">
        <f t="shared" si="76"/>
        <v>80.14</v>
      </c>
      <c r="G722" s="143"/>
      <c r="H722" s="4"/>
      <c r="I722" s="72"/>
      <c r="J722" s="4"/>
      <c r="K722" s="42"/>
      <c r="L722" s="4"/>
      <c r="M722" s="4"/>
      <c r="N722" s="4"/>
      <c r="O722" s="4"/>
      <c r="Y722" s="153"/>
      <c r="BI722" s="154"/>
      <c r="BJ722" s="20"/>
    </row>
    <row r="723" spans="1:62" s="19" customFormat="1" ht="18.75" customHeight="1" x14ac:dyDescent="0.2">
      <c r="A723" s="288" t="s">
        <v>820</v>
      </c>
      <c r="B723" s="281" t="s">
        <v>821</v>
      </c>
      <c r="C723" s="298" t="s">
        <v>230</v>
      </c>
      <c r="D723" s="15">
        <f>44.9*1.05</f>
        <v>47.15</v>
      </c>
      <c r="E723" s="16">
        <f t="shared" si="75"/>
        <v>9.43</v>
      </c>
      <c r="F723" s="164">
        <f t="shared" si="76"/>
        <v>56.58</v>
      </c>
      <c r="G723" s="143"/>
      <c r="H723" s="4"/>
      <c r="I723" s="72"/>
      <c r="J723" s="4"/>
      <c r="K723" s="42"/>
      <c r="L723" s="4"/>
      <c r="M723" s="4"/>
      <c r="N723" s="4"/>
      <c r="O723" s="4"/>
      <c r="Y723" s="153"/>
      <c r="BI723" s="154"/>
      <c r="BJ723" s="20"/>
    </row>
    <row r="724" spans="1:62" s="19" customFormat="1" ht="16.5" customHeight="1" x14ac:dyDescent="0.2">
      <c r="A724" s="288" t="s">
        <v>822</v>
      </c>
      <c r="B724" s="281" t="s">
        <v>823</v>
      </c>
      <c r="C724" s="298" t="s">
        <v>230</v>
      </c>
      <c r="D724" s="15">
        <f>56.3*1.05</f>
        <v>59.12</v>
      </c>
      <c r="E724" s="16">
        <f t="shared" si="75"/>
        <v>11.82</v>
      </c>
      <c r="F724" s="164">
        <f t="shared" si="76"/>
        <v>70.94</v>
      </c>
      <c r="G724" s="143"/>
      <c r="H724" s="4"/>
      <c r="I724" s="72"/>
      <c r="J724" s="4"/>
      <c r="K724" s="42"/>
      <c r="L724" s="4"/>
      <c r="M724" s="4"/>
      <c r="N724" s="4"/>
      <c r="O724" s="4"/>
      <c r="Y724" s="153"/>
      <c r="BI724" s="154"/>
      <c r="BJ724" s="20"/>
    </row>
    <row r="725" spans="1:62" s="19" customFormat="1" ht="21" customHeight="1" x14ac:dyDescent="0.2">
      <c r="A725" s="288" t="s">
        <v>824</v>
      </c>
      <c r="B725" s="281" t="s">
        <v>825</v>
      </c>
      <c r="C725" s="298" t="s">
        <v>230</v>
      </c>
      <c r="D725" s="277">
        <f>904.28*1.05</f>
        <v>949.49400000000003</v>
      </c>
      <c r="E725" s="16">
        <f t="shared" si="75"/>
        <v>189.9</v>
      </c>
      <c r="F725" s="164">
        <f t="shared" si="76"/>
        <v>1139.3900000000001</v>
      </c>
      <c r="G725" s="143"/>
      <c r="H725" s="4"/>
      <c r="I725" s="72"/>
      <c r="J725" s="4"/>
      <c r="K725" s="42"/>
      <c r="L725" s="4"/>
      <c r="M725" s="4"/>
      <c r="N725" s="4"/>
      <c r="O725" s="4"/>
      <c r="Y725" s="153"/>
      <c r="BI725" s="154"/>
      <c r="BJ725" s="20"/>
    </row>
    <row r="726" spans="1:62" s="19" customFormat="1" ht="26.25" customHeight="1" x14ac:dyDescent="0.2">
      <c r="A726" s="288" t="s">
        <v>826</v>
      </c>
      <c r="B726" s="281" t="s">
        <v>827</v>
      </c>
      <c r="C726" s="298" t="s">
        <v>230</v>
      </c>
      <c r="D726" s="15">
        <f>94.5*1.05</f>
        <v>99.23</v>
      </c>
      <c r="E726" s="16">
        <f t="shared" si="75"/>
        <v>19.850000000000001</v>
      </c>
      <c r="F726" s="164">
        <f t="shared" si="76"/>
        <v>119.08</v>
      </c>
      <c r="G726" s="143"/>
      <c r="H726" s="4"/>
      <c r="I726" s="72"/>
      <c r="J726" s="4"/>
      <c r="K726" s="42"/>
      <c r="L726" s="4"/>
      <c r="M726" s="4"/>
      <c r="N726" s="4"/>
      <c r="O726" s="4"/>
      <c r="Y726" s="153"/>
      <c r="BI726" s="154"/>
      <c r="BJ726" s="20"/>
    </row>
    <row r="727" spans="1:62" s="19" customFormat="1" ht="28.5" customHeight="1" x14ac:dyDescent="0.2">
      <c r="A727" s="288" t="s">
        <v>828</v>
      </c>
      <c r="B727" s="281" t="s">
        <v>829</v>
      </c>
      <c r="C727" s="298" t="s">
        <v>230</v>
      </c>
      <c r="D727" s="15">
        <f>59.2*1.05</f>
        <v>62.16</v>
      </c>
      <c r="E727" s="16">
        <f t="shared" si="75"/>
        <v>12.43</v>
      </c>
      <c r="F727" s="164">
        <f t="shared" si="76"/>
        <v>74.59</v>
      </c>
      <c r="G727" s="143"/>
      <c r="H727" s="4"/>
      <c r="I727" s="72"/>
      <c r="J727" s="4"/>
      <c r="K727" s="42"/>
      <c r="L727" s="4"/>
      <c r="M727" s="4"/>
      <c r="N727" s="4"/>
      <c r="O727" s="4"/>
      <c r="Y727" s="153"/>
      <c r="BI727" s="154"/>
      <c r="BJ727" s="20"/>
    </row>
    <row r="728" spans="1:62" s="19" customFormat="1" ht="21" customHeight="1" x14ac:dyDescent="0.2">
      <c r="A728" s="288" t="s">
        <v>830</v>
      </c>
      <c r="B728" s="281" t="s">
        <v>831</v>
      </c>
      <c r="C728" s="298" t="s">
        <v>230</v>
      </c>
      <c r="D728" s="15">
        <f>31.5*1.05</f>
        <v>33.08</v>
      </c>
      <c r="E728" s="16">
        <f t="shared" si="75"/>
        <v>6.62</v>
      </c>
      <c r="F728" s="164">
        <f t="shared" si="76"/>
        <v>39.700000000000003</v>
      </c>
      <c r="G728" s="143"/>
      <c r="H728" s="4"/>
      <c r="I728" s="72"/>
      <c r="J728" s="4"/>
      <c r="K728" s="42"/>
      <c r="L728" s="4"/>
      <c r="M728" s="4"/>
      <c r="N728" s="4"/>
      <c r="O728" s="4"/>
      <c r="Y728" s="153"/>
      <c r="BI728" s="154"/>
      <c r="BJ728" s="20"/>
    </row>
    <row r="729" spans="1:62" s="19" customFormat="1" ht="22.5" customHeight="1" x14ac:dyDescent="0.2">
      <c r="A729" s="288" t="s">
        <v>832</v>
      </c>
      <c r="B729" s="281" t="s">
        <v>833</v>
      </c>
      <c r="C729" s="298" t="s">
        <v>230</v>
      </c>
      <c r="D729" s="15">
        <f>41.2*1.05</f>
        <v>43.26</v>
      </c>
      <c r="E729" s="16">
        <f t="shared" si="75"/>
        <v>8.65</v>
      </c>
      <c r="F729" s="164">
        <f t="shared" si="76"/>
        <v>51.91</v>
      </c>
      <c r="G729" s="143"/>
      <c r="H729" s="4"/>
      <c r="I729" s="72"/>
      <c r="J729" s="4"/>
      <c r="K729" s="42"/>
      <c r="L729" s="4"/>
      <c r="M729" s="4"/>
      <c r="N729" s="4"/>
      <c r="O729" s="4"/>
      <c r="Y729" s="153"/>
      <c r="BI729" s="154"/>
      <c r="BJ729" s="20"/>
    </row>
    <row r="730" spans="1:62" s="19" customFormat="1" ht="27" customHeight="1" x14ac:dyDescent="0.2">
      <c r="A730" s="288" t="s">
        <v>834</v>
      </c>
      <c r="B730" s="281" t="s">
        <v>835</v>
      </c>
      <c r="C730" s="298" t="s">
        <v>230</v>
      </c>
      <c r="D730" s="15">
        <f>39.5*1.05</f>
        <v>41.48</v>
      </c>
      <c r="E730" s="16">
        <f t="shared" si="75"/>
        <v>8.3000000000000007</v>
      </c>
      <c r="F730" s="164">
        <f t="shared" si="76"/>
        <v>49.78</v>
      </c>
      <c r="G730" s="143"/>
      <c r="H730" s="4"/>
      <c r="I730" s="72"/>
      <c r="J730" s="4"/>
      <c r="K730" s="42"/>
      <c r="L730" s="4"/>
      <c r="M730" s="4"/>
      <c r="N730" s="4"/>
      <c r="O730" s="4"/>
      <c r="Y730" s="153"/>
      <c r="BI730" s="154"/>
      <c r="BJ730" s="20"/>
    </row>
    <row r="731" spans="1:62" s="19" customFormat="1" ht="17.25" customHeight="1" x14ac:dyDescent="0.2">
      <c r="A731" s="288" t="s">
        <v>836</v>
      </c>
      <c r="B731" s="281" t="s">
        <v>837</v>
      </c>
      <c r="C731" s="298" t="s">
        <v>230</v>
      </c>
      <c r="D731" s="15">
        <f>79.27*1.05</f>
        <v>83.23</v>
      </c>
      <c r="E731" s="16">
        <f t="shared" si="75"/>
        <v>16.649999999999999</v>
      </c>
      <c r="F731" s="164">
        <f>D731+E731</f>
        <v>99.88</v>
      </c>
      <c r="G731" s="143"/>
      <c r="H731" s="4"/>
      <c r="I731" s="72"/>
      <c r="J731" s="4"/>
      <c r="K731" s="42"/>
      <c r="L731" s="4"/>
      <c r="M731" s="4"/>
      <c r="N731" s="4"/>
      <c r="O731" s="4"/>
      <c r="Y731" s="153"/>
      <c r="BI731" s="154"/>
      <c r="BJ731" s="20"/>
    </row>
    <row r="732" spans="1:62" s="19" customFormat="1" ht="18.75" customHeight="1" x14ac:dyDescent="0.2">
      <c r="A732" s="288" t="s">
        <v>838</v>
      </c>
      <c r="B732" s="281" t="s">
        <v>839</v>
      </c>
      <c r="C732" s="298" t="s">
        <v>230</v>
      </c>
      <c r="D732" s="15">
        <f>59.2*1.05</f>
        <v>62.16</v>
      </c>
      <c r="E732" s="16">
        <f t="shared" si="75"/>
        <v>12.43</v>
      </c>
      <c r="F732" s="164">
        <f>D732+E732</f>
        <v>74.59</v>
      </c>
      <c r="G732" s="143"/>
      <c r="H732" s="4"/>
      <c r="I732" s="72"/>
      <c r="J732" s="4"/>
      <c r="K732" s="42"/>
      <c r="L732" s="4"/>
      <c r="M732" s="4"/>
      <c r="N732" s="4"/>
      <c r="O732" s="4"/>
      <c r="Y732" s="153"/>
      <c r="BI732" s="154"/>
      <c r="BJ732" s="20"/>
    </row>
    <row r="733" spans="1:62" s="19" customFormat="1" ht="18" customHeight="1" x14ac:dyDescent="0.2">
      <c r="A733" s="278" t="s">
        <v>47</v>
      </c>
      <c r="B733" s="312" t="s">
        <v>840</v>
      </c>
      <c r="C733" s="312"/>
      <c r="D733" s="312"/>
      <c r="E733" s="312"/>
      <c r="F733" s="312"/>
      <c r="G733" s="143"/>
      <c r="H733" s="4"/>
      <c r="I733" s="72"/>
      <c r="J733" s="4"/>
      <c r="K733" s="42"/>
      <c r="L733" s="4"/>
      <c r="M733" s="4"/>
      <c r="N733" s="4"/>
      <c r="O733" s="4"/>
      <c r="Y733" s="153"/>
      <c r="BI733" s="154"/>
      <c r="BJ733" s="20"/>
    </row>
    <row r="734" spans="1:62" s="19" customFormat="1" ht="36" customHeight="1" x14ac:dyDescent="0.2">
      <c r="A734" s="289" t="s">
        <v>841</v>
      </c>
      <c r="B734" s="285" t="s">
        <v>842</v>
      </c>
      <c r="C734" s="298" t="s">
        <v>230</v>
      </c>
      <c r="D734" s="15">
        <f>138.41*1.05</f>
        <v>145.33000000000001</v>
      </c>
      <c r="E734" s="16">
        <f>D734*20%</f>
        <v>29.07</v>
      </c>
      <c r="F734" s="164">
        <f>D734+E734</f>
        <v>174.4</v>
      </c>
      <c r="G734" s="143"/>
      <c r="H734" s="4"/>
      <c r="I734" s="72"/>
      <c r="J734" s="4"/>
      <c r="K734" s="42"/>
      <c r="L734" s="4"/>
      <c r="M734" s="4"/>
      <c r="N734" s="4"/>
      <c r="O734" s="4"/>
      <c r="Y734" s="153"/>
      <c r="BI734" s="154"/>
      <c r="BJ734" s="20"/>
    </row>
    <row r="735" spans="1:62" s="19" customFormat="1" ht="17.25" customHeight="1" x14ac:dyDescent="0.2">
      <c r="A735" s="289" t="s">
        <v>843</v>
      </c>
      <c r="B735" s="285" t="s">
        <v>844</v>
      </c>
      <c r="C735" s="298" t="s">
        <v>230</v>
      </c>
      <c r="D735" s="15">
        <f>138.41*1.05</f>
        <v>145.33000000000001</v>
      </c>
      <c r="E735" s="16">
        <f>D735*20%</f>
        <v>29.07</v>
      </c>
      <c r="F735" s="164">
        <f>D735+E735</f>
        <v>174.4</v>
      </c>
      <c r="G735" s="143"/>
      <c r="H735" s="4"/>
      <c r="I735" s="72"/>
      <c r="J735" s="4"/>
      <c r="K735" s="42"/>
      <c r="L735" s="4"/>
      <c r="M735" s="4"/>
      <c r="N735" s="4"/>
      <c r="O735" s="4"/>
      <c r="Y735" s="153"/>
      <c r="BI735" s="154"/>
      <c r="BJ735" s="20"/>
    </row>
    <row r="736" spans="1:62" s="19" customFormat="1" ht="46.5" customHeight="1" x14ac:dyDescent="0.2">
      <c r="A736" s="289" t="s">
        <v>845</v>
      </c>
      <c r="B736" s="285" t="s">
        <v>846</v>
      </c>
      <c r="C736" s="298" t="s">
        <v>230</v>
      </c>
      <c r="D736" s="15">
        <f>93.41*1.05</f>
        <v>98.08</v>
      </c>
      <c r="E736" s="16">
        <f>D736*20%</f>
        <v>19.62</v>
      </c>
      <c r="F736" s="164">
        <f>D736+E736</f>
        <v>117.7</v>
      </c>
      <c r="G736" s="143"/>
      <c r="H736" s="4"/>
      <c r="I736" s="72"/>
      <c r="J736" s="4"/>
      <c r="K736" s="42"/>
      <c r="L736" s="4"/>
      <c r="M736" s="4"/>
      <c r="N736" s="4"/>
      <c r="O736" s="4"/>
      <c r="Y736" s="153"/>
      <c r="BI736" s="154"/>
      <c r="BJ736" s="20"/>
    </row>
    <row r="737" spans="1:62" s="19" customFormat="1" ht="34.5" customHeight="1" x14ac:dyDescent="0.2">
      <c r="A737" s="289" t="s">
        <v>847</v>
      </c>
      <c r="B737" s="285" t="s">
        <v>848</v>
      </c>
      <c r="C737" s="298" t="s">
        <v>230</v>
      </c>
      <c r="D737" s="15">
        <f>138.41*1.05</f>
        <v>145.33000000000001</v>
      </c>
      <c r="E737" s="16">
        <f>D737*20%</f>
        <v>29.07</v>
      </c>
      <c r="F737" s="164">
        <f>D737+E737</f>
        <v>174.4</v>
      </c>
      <c r="G737" s="143"/>
      <c r="H737" s="4"/>
      <c r="I737" s="72"/>
      <c r="J737" s="4"/>
      <c r="K737" s="42"/>
      <c r="L737" s="4"/>
      <c r="M737" s="4"/>
      <c r="N737" s="4"/>
      <c r="O737" s="4"/>
      <c r="Y737" s="153"/>
      <c r="BI737" s="154"/>
      <c r="BJ737" s="20"/>
    </row>
    <row r="738" spans="1:62" s="19" customFormat="1" ht="33.75" customHeight="1" x14ac:dyDescent="0.2">
      <c r="A738" s="289" t="s">
        <v>849</v>
      </c>
      <c r="B738" s="285" t="s">
        <v>850</v>
      </c>
      <c r="C738" s="298" t="s">
        <v>230</v>
      </c>
      <c r="D738" s="15">
        <f>93.41*1.05</f>
        <v>98.08</v>
      </c>
      <c r="E738" s="16">
        <f>D738*20%</f>
        <v>19.62</v>
      </c>
      <c r="F738" s="164">
        <f>D738+E738</f>
        <v>117.7</v>
      </c>
      <c r="G738" s="143"/>
      <c r="H738" s="4"/>
      <c r="I738" s="72"/>
      <c r="J738" s="4"/>
      <c r="K738" s="42"/>
      <c r="L738" s="4"/>
      <c r="M738" s="4"/>
      <c r="N738" s="4"/>
      <c r="O738" s="4"/>
      <c r="Y738" s="153"/>
      <c r="BI738" s="154"/>
      <c r="BJ738" s="20"/>
    </row>
    <row r="739" spans="1:62" s="19" customFormat="1" ht="15.75" customHeight="1" x14ac:dyDescent="0.2">
      <c r="A739" s="294" t="s">
        <v>49</v>
      </c>
      <c r="B739" s="341" t="s">
        <v>851</v>
      </c>
      <c r="C739" s="341"/>
      <c r="D739" s="341"/>
      <c r="E739" s="341"/>
      <c r="F739" s="341"/>
      <c r="G739" s="143"/>
      <c r="H739" s="4"/>
      <c r="I739" s="72"/>
      <c r="J739" s="4"/>
      <c r="K739" s="42"/>
      <c r="L739" s="4"/>
      <c r="M739" s="4"/>
      <c r="N739" s="4"/>
      <c r="O739" s="4"/>
      <c r="Y739" s="153"/>
      <c r="BI739" s="154"/>
      <c r="BJ739" s="20"/>
    </row>
    <row r="740" spans="1:62" s="19" customFormat="1" ht="46.5" customHeight="1" x14ac:dyDescent="0.2">
      <c r="A740" s="288" t="s">
        <v>852</v>
      </c>
      <c r="B740" s="285" t="s">
        <v>853</v>
      </c>
      <c r="C740" s="298" t="s">
        <v>230</v>
      </c>
      <c r="D740" s="15">
        <f>209.9*1.05</f>
        <v>220.4</v>
      </c>
      <c r="E740" s="16">
        <f t="shared" ref="E740:E745" si="77">D740*20%</f>
        <v>44.08</v>
      </c>
      <c r="F740" s="164">
        <f t="shared" ref="F740:F745" si="78">D740+E740</f>
        <v>264.48</v>
      </c>
      <c r="G740" s="143"/>
      <c r="H740" s="4"/>
      <c r="I740" s="72"/>
      <c r="J740" s="4"/>
      <c r="K740" s="42"/>
      <c r="L740" s="4"/>
      <c r="M740" s="4"/>
      <c r="N740" s="4"/>
      <c r="O740" s="4"/>
      <c r="Y740" s="153"/>
      <c r="BI740" s="154"/>
      <c r="BJ740" s="20"/>
    </row>
    <row r="741" spans="1:62" s="19" customFormat="1" ht="32.25" customHeight="1" x14ac:dyDescent="0.2">
      <c r="A741" s="288" t="s">
        <v>854</v>
      </c>
      <c r="B741" s="285" t="s">
        <v>855</v>
      </c>
      <c r="C741" s="298" t="s">
        <v>230</v>
      </c>
      <c r="D741" s="15">
        <f>222.49*1.05</f>
        <v>233.61</v>
      </c>
      <c r="E741" s="16">
        <f t="shared" si="77"/>
        <v>46.72</v>
      </c>
      <c r="F741" s="164">
        <f t="shared" si="78"/>
        <v>280.33</v>
      </c>
      <c r="G741" s="143"/>
      <c r="H741" s="4"/>
      <c r="I741" s="72"/>
      <c r="J741" s="4"/>
      <c r="K741" s="42"/>
      <c r="L741" s="4"/>
      <c r="M741" s="4"/>
      <c r="N741" s="4"/>
      <c r="O741" s="4"/>
      <c r="Y741" s="153"/>
      <c r="BI741" s="154"/>
      <c r="BJ741" s="20"/>
    </row>
    <row r="742" spans="1:62" s="19" customFormat="1" ht="46.5" customHeight="1" x14ac:dyDescent="0.2">
      <c r="A742" s="288" t="s">
        <v>856</v>
      </c>
      <c r="B742" s="285" t="s">
        <v>857</v>
      </c>
      <c r="C742" s="298" t="s">
        <v>230</v>
      </c>
      <c r="D742" s="15">
        <f>244.04*1.05</f>
        <v>256.24</v>
      </c>
      <c r="E742" s="16">
        <f t="shared" si="77"/>
        <v>51.25</v>
      </c>
      <c r="F742" s="164">
        <f t="shared" si="78"/>
        <v>307.49</v>
      </c>
      <c r="G742" s="143"/>
      <c r="H742" s="4"/>
      <c r="I742" s="72"/>
      <c r="J742" s="4"/>
      <c r="K742" s="42"/>
      <c r="L742" s="4"/>
      <c r="M742" s="4"/>
      <c r="N742" s="4"/>
      <c r="O742" s="4"/>
      <c r="Y742" s="153"/>
      <c r="BI742" s="154"/>
      <c r="BJ742" s="20"/>
    </row>
    <row r="743" spans="1:62" s="19" customFormat="1" ht="22.5" customHeight="1" x14ac:dyDescent="0.2">
      <c r="A743" s="288" t="s">
        <v>858</v>
      </c>
      <c r="B743" s="285" t="s">
        <v>859</v>
      </c>
      <c r="C743" s="298" t="s">
        <v>230</v>
      </c>
      <c r="D743" s="15">
        <f>147.6*1.05</f>
        <v>154.97999999999999</v>
      </c>
      <c r="E743" s="16">
        <f t="shared" si="77"/>
        <v>31</v>
      </c>
      <c r="F743" s="164">
        <f>D743+E743</f>
        <v>185.98</v>
      </c>
      <c r="G743" s="143"/>
      <c r="H743" s="4"/>
      <c r="I743" s="72"/>
      <c r="J743" s="4"/>
      <c r="K743" s="42"/>
      <c r="L743" s="4"/>
      <c r="M743" s="4"/>
      <c r="N743" s="4"/>
      <c r="O743" s="4"/>
      <c r="Y743" s="153"/>
      <c r="BI743" s="154"/>
      <c r="BJ743" s="20"/>
    </row>
    <row r="744" spans="1:62" s="19" customFormat="1" ht="46.5" customHeight="1" x14ac:dyDescent="0.2">
      <c r="A744" s="288" t="s">
        <v>860</v>
      </c>
      <c r="B744" s="285" t="s">
        <v>861</v>
      </c>
      <c r="C744" s="298" t="s">
        <v>230</v>
      </c>
      <c r="D744" s="15">
        <f>93.81*1.05</f>
        <v>98.5</v>
      </c>
      <c r="E744" s="16">
        <f t="shared" si="77"/>
        <v>19.7</v>
      </c>
      <c r="F744" s="164">
        <f>D744+E744</f>
        <v>118.2</v>
      </c>
      <c r="G744" s="143"/>
      <c r="H744" s="4"/>
      <c r="I744" s="72"/>
      <c r="J744" s="4"/>
      <c r="K744" s="42"/>
      <c r="L744" s="4"/>
      <c r="M744" s="4"/>
      <c r="N744" s="4"/>
      <c r="O744" s="4"/>
      <c r="Y744" s="153"/>
      <c r="BI744" s="154"/>
      <c r="BJ744" s="20"/>
    </row>
    <row r="745" spans="1:62" s="19" customFormat="1" ht="35.25" customHeight="1" x14ac:dyDescent="0.2">
      <c r="A745" s="288" t="s">
        <v>862</v>
      </c>
      <c r="B745" s="285" t="s">
        <v>863</v>
      </c>
      <c r="C745" s="298" t="s">
        <v>230</v>
      </c>
      <c r="D745" s="15">
        <f>161.2*1.05</f>
        <v>169.26</v>
      </c>
      <c r="E745" s="16">
        <f t="shared" si="77"/>
        <v>33.85</v>
      </c>
      <c r="F745" s="164">
        <f t="shared" si="78"/>
        <v>203.11</v>
      </c>
      <c r="G745" s="143"/>
      <c r="H745" s="4"/>
      <c r="I745" s="72"/>
      <c r="J745" s="4"/>
      <c r="K745" s="42"/>
      <c r="L745" s="4"/>
      <c r="M745" s="4"/>
      <c r="N745" s="4"/>
      <c r="O745" s="4"/>
      <c r="Y745" s="153"/>
      <c r="BI745" s="154"/>
      <c r="BJ745" s="20"/>
    </row>
    <row r="746" spans="1:62" s="19" customFormat="1" ht="21.75" customHeight="1" x14ac:dyDescent="0.2">
      <c r="A746" s="278" t="s">
        <v>51</v>
      </c>
      <c r="B746" s="312" t="s">
        <v>864</v>
      </c>
      <c r="C746" s="312"/>
      <c r="D746" s="312"/>
      <c r="E746" s="312"/>
      <c r="F746" s="312"/>
      <c r="G746" s="143"/>
      <c r="H746" s="4"/>
      <c r="I746" s="72"/>
      <c r="J746" s="4"/>
      <c r="K746" s="42"/>
      <c r="L746" s="4"/>
      <c r="M746" s="4"/>
      <c r="N746" s="4"/>
      <c r="O746" s="4"/>
      <c r="Y746" s="153"/>
      <c r="BI746" s="154"/>
      <c r="BJ746" s="20"/>
    </row>
    <row r="747" spans="1:62" s="19" customFormat="1" ht="35.25" customHeight="1" x14ac:dyDescent="0.2">
      <c r="A747" s="288" t="s">
        <v>865</v>
      </c>
      <c r="B747" s="285" t="s">
        <v>866</v>
      </c>
      <c r="C747" s="298" t="s">
        <v>230</v>
      </c>
      <c r="D747" s="15">
        <f>146.1*1.05</f>
        <v>153.41</v>
      </c>
      <c r="E747" s="16">
        <f>D747*20%</f>
        <v>30.68</v>
      </c>
      <c r="F747" s="164">
        <f>D747+E747</f>
        <v>184.09</v>
      </c>
      <c r="G747" s="143"/>
      <c r="H747" s="4"/>
      <c r="I747" s="72"/>
      <c r="J747" s="4"/>
      <c r="K747" s="42"/>
      <c r="L747" s="4"/>
      <c r="M747" s="4"/>
      <c r="N747" s="4"/>
      <c r="O747" s="4"/>
      <c r="Y747" s="153"/>
      <c r="BI747" s="154"/>
      <c r="BJ747" s="20"/>
    </row>
    <row r="748" spans="1:62" s="19" customFormat="1" ht="18.75" customHeight="1" x14ac:dyDescent="0.2">
      <c r="A748" s="288" t="s">
        <v>867</v>
      </c>
      <c r="B748" s="285" t="s">
        <v>868</v>
      </c>
      <c r="C748" s="298" t="s">
        <v>230</v>
      </c>
      <c r="D748" s="15">
        <f>139.16*1.05</f>
        <v>146.12</v>
      </c>
      <c r="E748" s="16">
        <f>D748*20%</f>
        <v>29.22</v>
      </c>
      <c r="F748" s="164">
        <f>D748+E748</f>
        <v>175.34</v>
      </c>
      <c r="G748" s="143"/>
      <c r="H748" s="4"/>
      <c r="I748" s="72"/>
      <c r="J748" s="4"/>
      <c r="K748" s="42"/>
      <c r="L748" s="4"/>
      <c r="M748" s="4"/>
      <c r="N748" s="4"/>
      <c r="O748" s="4"/>
      <c r="Y748" s="153"/>
      <c r="BI748" s="154"/>
      <c r="BJ748" s="20"/>
    </row>
    <row r="749" spans="1:62" s="19" customFormat="1" ht="18" customHeight="1" x14ac:dyDescent="0.2">
      <c r="A749" s="288" t="s">
        <v>869</v>
      </c>
      <c r="B749" s="285" t="s">
        <v>870</v>
      </c>
      <c r="C749" s="298" t="s">
        <v>230</v>
      </c>
      <c r="D749" s="15">
        <f>199.6*1.05</f>
        <v>209.58</v>
      </c>
      <c r="E749" s="16">
        <f>D749*20%</f>
        <v>41.92</v>
      </c>
      <c r="F749" s="164">
        <f>D749+E749</f>
        <v>251.5</v>
      </c>
      <c r="G749" s="143"/>
      <c r="H749" s="4"/>
      <c r="I749" s="72"/>
      <c r="J749" s="4"/>
      <c r="K749" s="42"/>
      <c r="L749" s="4"/>
      <c r="M749" s="4"/>
      <c r="N749" s="4"/>
      <c r="O749" s="4"/>
      <c r="Y749" s="153"/>
      <c r="BI749" s="154"/>
      <c r="BJ749" s="20"/>
    </row>
    <row r="750" spans="1:62" s="19" customFormat="1" ht="28.5" customHeight="1" x14ac:dyDescent="0.2">
      <c r="A750" s="288" t="s">
        <v>871</v>
      </c>
      <c r="B750" s="285" t="s">
        <v>872</v>
      </c>
      <c r="C750" s="298" t="s">
        <v>230</v>
      </c>
      <c r="D750" s="15">
        <f>192.4*1.05</f>
        <v>202.02</v>
      </c>
      <c r="E750" s="16">
        <f>D750*20%</f>
        <v>40.4</v>
      </c>
      <c r="F750" s="164">
        <f>D750+E750</f>
        <v>242.42</v>
      </c>
      <c r="G750" s="143"/>
      <c r="H750" s="4"/>
      <c r="I750" s="72"/>
      <c r="J750" s="4"/>
      <c r="K750" s="42"/>
      <c r="L750" s="4"/>
      <c r="M750" s="4"/>
      <c r="N750" s="4"/>
      <c r="O750" s="4"/>
      <c r="Y750" s="153"/>
      <c r="BI750" s="154"/>
      <c r="BJ750" s="20"/>
    </row>
    <row r="751" spans="1:62" s="19" customFormat="1" ht="20.25" customHeight="1" x14ac:dyDescent="0.2">
      <c r="A751" s="178" t="s">
        <v>53</v>
      </c>
      <c r="B751" s="312" t="s">
        <v>873</v>
      </c>
      <c r="C751" s="312"/>
      <c r="D751" s="312"/>
      <c r="E751" s="312"/>
      <c r="F751" s="312"/>
      <c r="G751" s="143"/>
      <c r="H751" s="4"/>
      <c r="I751" s="72"/>
      <c r="J751" s="4"/>
      <c r="K751" s="42"/>
      <c r="L751" s="4"/>
      <c r="M751" s="4"/>
      <c r="N751" s="4"/>
      <c r="O751" s="4"/>
      <c r="Y751" s="153"/>
      <c r="BI751" s="154"/>
      <c r="BJ751" s="20"/>
    </row>
    <row r="752" spans="1:62" s="19" customFormat="1" ht="35.25" customHeight="1" x14ac:dyDescent="0.2">
      <c r="A752" s="288" t="s">
        <v>874</v>
      </c>
      <c r="B752" s="285" t="s">
        <v>875</v>
      </c>
      <c r="C752" s="298" t="s">
        <v>230</v>
      </c>
      <c r="D752" s="15">
        <f>434.04*1.05</f>
        <v>455.74</v>
      </c>
      <c r="E752" s="16">
        <f t="shared" ref="E752:E783" si="79">D752*20%</f>
        <v>91.15</v>
      </c>
      <c r="F752" s="164">
        <f t="shared" ref="F752:F781" si="80">D752+E752</f>
        <v>546.89</v>
      </c>
      <c r="G752" s="143"/>
      <c r="H752" s="4"/>
      <c r="I752" s="72"/>
      <c r="J752" s="4"/>
      <c r="K752" s="42"/>
      <c r="L752" s="4"/>
      <c r="M752" s="4"/>
      <c r="N752" s="4"/>
      <c r="O752" s="4"/>
      <c r="Y752" s="153"/>
      <c r="BI752" s="154"/>
      <c r="BJ752" s="20"/>
    </row>
    <row r="753" spans="1:62" s="19" customFormat="1" ht="46.5" customHeight="1" x14ac:dyDescent="0.2">
      <c r="A753" s="288" t="s">
        <v>876</v>
      </c>
      <c r="B753" s="285" t="s">
        <v>877</v>
      </c>
      <c r="C753" s="298" t="s">
        <v>230</v>
      </c>
      <c r="D753" s="15">
        <f>308.19*1.05</f>
        <v>323.60000000000002</v>
      </c>
      <c r="E753" s="16">
        <f t="shared" si="79"/>
        <v>64.72</v>
      </c>
      <c r="F753" s="164">
        <f t="shared" si="80"/>
        <v>388.32</v>
      </c>
      <c r="G753" s="143"/>
      <c r="H753" s="4"/>
      <c r="I753" s="72"/>
      <c r="J753" s="4"/>
      <c r="K753" s="42"/>
      <c r="L753" s="4"/>
      <c r="M753" s="4"/>
      <c r="N753" s="4"/>
      <c r="O753" s="4"/>
      <c r="Y753" s="153"/>
      <c r="BI753" s="154"/>
      <c r="BJ753" s="20"/>
    </row>
    <row r="754" spans="1:62" s="19" customFormat="1" ht="35.25" customHeight="1" x14ac:dyDescent="0.2">
      <c r="A754" s="288" t="s">
        <v>878</v>
      </c>
      <c r="B754" s="285" t="s">
        <v>879</v>
      </c>
      <c r="C754" s="298" t="s">
        <v>230</v>
      </c>
      <c r="D754" s="15">
        <f>317.75*1.05</f>
        <v>333.64</v>
      </c>
      <c r="E754" s="16">
        <f t="shared" si="79"/>
        <v>66.73</v>
      </c>
      <c r="F754" s="164">
        <f t="shared" si="80"/>
        <v>400.37</v>
      </c>
      <c r="G754" s="143"/>
      <c r="H754" s="4"/>
      <c r="I754" s="72"/>
      <c r="J754" s="4"/>
      <c r="K754" s="42"/>
      <c r="L754" s="4"/>
      <c r="M754" s="4"/>
      <c r="N754" s="4"/>
      <c r="O754" s="4"/>
      <c r="Y754" s="153"/>
      <c r="BI754" s="154"/>
      <c r="BJ754" s="20"/>
    </row>
    <row r="755" spans="1:62" s="19" customFormat="1" ht="34.5" customHeight="1" x14ac:dyDescent="0.2">
      <c r="A755" s="288" t="s">
        <v>880</v>
      </c>
      <c r="B755" s="285" t="s">
        <v>881</v>
      </c>
      <c r="C755" s="298" t="s">
        <v>230</v>
      </c>
      <c r="D755" s="15">
        <f>263.96*1.05</f>
        <v>277.16000000000003</v>
      </c>
      <c r="E755" s="16">
        <f t="shared" si="79"/>
        <v>55.43</v>
      </c>
      <c r="F755" s="164">
        <f t="shared" si="80"/>
        <v>332.59</v>
      </c>
      <c r="G755" s="143"/>
      <c r="H755" s="4"/>
      <c r="I755" s="72"/>
      <c r="J755" s="4"/>
      <c r="K755" s="42"/>
      <c r="L755" s="4"/>
      <c r="M755" s="4"/>
      <c r="N755" s="4"/>
      <c r="O755" s="4"/>
      <c r="Y755" s="153"/>
      <c r="BI755" s="154"/>
      <c r="BJ755" s="20"/>
    </row>
    <row r="756" spans="1:62" s="19" customFormat="1" ht="31.5" customHeight="1" x14ac:dyDescent="0.2">
      <c r="A756" s="288" t="s">
        <v>882</v>
      </c>
      <c r="B756" s="285" t="s">
        <v>883</v>
      </c>
      <c r="C756" s="298" t="s">
        <v>230</v>
      </c>
      <c r="D756" s="15">
        <f>263.5*1.05</f>
        <v>276.68</v>
      </c>
      <c r="E756" s="16">
        <f t="shared" si="79"/>
        <v>55.34</v>
      </c>
      <c r="F756" s="164">
        <f t="shared" si="80"/>
        <v>332.02</v>
      </c>
      <c r="G756" s="143"/>
      <c r="H756" s="4"/>
      <c r="I756" s="72"/>
      <c r="J756" s="4"/>
      <c r="K756" s="42"/>
      <c r="L756" s="4"/>
      <c r="M756" s="4"/>
      <c r="N756" s="4"/>
      <c r="O756" s="4"/>
      <c r="Y756" s="153"/>
      <c r="BI756" s="154"/>
      <c r="BJ756" s="20"/>
    </row>
    <row r="757" spans="1:62" s="19" customFormat="1" ht="46.5" customHeight="1" x14ac:dyDescent="0.2">
      <c r="A757" s="288" t="s">
        <v>884</v>
      </c>
      <c r="B757" s="285" t="s">
        <v>885</v>
      </c>
      <c r="C757" s="298" t="s">
        <v>230</v>
      </c>
      <c r="D757" s="15">
        <f>272.11*1.05</f>
        <v>285.72000000000003</v>
      </c>
      <c r="E757" s="16">
        <f t="shared" si="79"/>
        <v>57.14</v>
      </c>
      <c r="F757" s="164">
        <f t="shared" si="80"/>
        <v>342.86</v>
      </c>
      <c r="G757" s="143"/>
      <c r="H757" s="4"/>
      <c r="I757" s="72"/>
      <c r="J757" s="4"/>
      <c r="K757" s="42"/>
      <c r="L757" s="4"/>
      <c r="M757" s="4"/>
      <c r="N757" s="4"/>
      <c r="O757" s="4"/>
      <c r="Y757" s="153"/>
      <c r="BI757" s="154"/>
      <c r="BJ757" s="20"/>
    </row>
    <row r="758" spans="1:62" s="19" customFormat="1" ht="28.5" customHeight="1" x14ac:dyDescent="0.2">
      <c r="A758" s="288" t="s">
        <v>886</v>
      </c>
      <c r="B758" s="285" t="s">
        <v>887</v>
      </c>
      <c r="C758" s="298" t="s">
        <v>230</v>
      </c>
      <c r="D758" s="15">
        <f>209.84*1.05</f>
        <v>220.33</v>
      </c>
      <c r="E758" s="16">
        <f t="shared" si="79"/>
        <v>44.07</v>
      </c>
      <c r="F758" s="164">
        <f t="shared" si="80"/>
        <v>264.39999999999998</v>
      </c>
      <c r="G758" s="143"/>
      <c r="H758" s="4"/>
      <c r="I758" s="72"/>
      <c r="J758" s="4"/>
      <c r="K758" s="42"/>
      <c r="L758" s="4"/>
      <c r="M758" s="4"/>
      <c r="N758" s="4"/>
      <c r="O758" s="4"/>
      <c r="Y758" s="153"/>
      <c r="BI758" s="154"/>
      <c r="BJ758" s="20"/>
    </row>
    <row r="759" spans="1:62" s="19" customFormat="1" ht="46.5" customHeight="1" x14ac:dyDescent="0.2">
      <c r="A759" s="288" t="s">
        <v>888</v>
      </c>
      <c r="B759" s="285" t="s">
        <v>889</v>
      </c>
      <c r="C759" s="298" t="s">
        <v>230</v>
      </c>
      <c r="D759" s="15">
        <f>155.71*1.05</f>
        <v>163.5</v>
      </c>
      <c r="E759" s="16">
        <f t="shared" si="79"/>
        <v>32.700000000000003</v>
      </c>
      <c r="F759" s="164">
        <f t="shared" si="80"/>
        <v>196.2</v>
      </c>
      <c r="G759" s="143"/>
      <c r="H759" s="4"/>
      <c r="I759" s="72"/>
      <c r="J759" s="4"/>
      <c r="K759" s="42"/>
      <c r="L759" s="4"/>
      <c r="M759" s="4"/>
      <c r="N759" s="4"/>
      <c r="O759" s="4"/>
      <c r="Y759" s="153"/>
      <c r="BI759" s="154"/>
      <c r="BJ759" s="20"/>
    </row>
    <row r="760" spans="1:62" s="19" customFormat="1" ht="46.5" customHeight="1" x14ac:dyDescent="0.2">
      <c r="A760" s="288" t="s">
        <v>890</v>
      </c>
      <c r="B760" s="285" t="s">
        <v>891</v>
      </c>
      <c r="C760" s="298" t="s">
        <v>230</v>
      </c>
      <c r="D760" s="15">
        <f>255.11*1.05</f>
        <v>267.87</v>
      </c>
      <c r="E760" s="16">
        <f t="shared" si="79"/>
        <v>53.57</v>
      </c>
      <c r="F760" s="164">
        <f t="shared" si="80"/>
        <v>321.44</v>
      </c>
      <c r="G760" s="143"/>
      <c r="H760" s="4"/>
      <c r="I760" s="72"/>
      <c r="J760" s="4"/>
      <c r="K760" s="42"/>
      <c r="L760" s="4"/>
      <c r="M760" s="4"/>
      <c r="N760" s="4"/>
      <c r="O760" s="4"/>
      <c r="Y760" s="153"/>
      <c r="BI760" s="154"/>
      <c r="BJ760" s="20"/>
    </row>
    <row r="761" spans="1:62" s="19" customFormat="1" ht="46.5" customHeight="1" x14ac:dyDescent="0.2">
      <c r="A761" s="288" t="s">
        <v>892</v>
      </c>
      <c r="B761" s="285" t="s">
        <v>893</v>
      </c>
      <c r="C761" s="298" t="s">
        <v>230</v>
      </c>
      <c r="D761" s="15">
        <f>275.62*1.05</f>
        <v>289.39999999999998</v>
      </c>
      <c r="E761" s="16">
        <f t="shared" si="79"/>
        <v>57.88</v>
      </c>
      <c r="F761" s="164">
        <f t="shared" si="80"/>
        <v>347.28</v>
      </c>
      <c r="G761" s="143"/>
      <c r="H761" s="4"/>
      <c r="I761" s="72"/>
      <c r="J761" s="4"/>
      <c r="K761" s="42"/>
      <c r="L761" s="4"/>
      <c r="M761" s="4"/>
      <c r="N761" s="4"/>
      <c r="O761" s="4"/>
      <c r="Y761" s="153"/>
      <c r="BI761" s="154"/>
      <c r="BJ761" s="20"/>
    </row>
    <row r="762" spans="1:62" s="19" customFormat="1" ht="32.25" customHeight="1" x14ac:dyDescent="0.2">
      <c r="A762" s="288" t="s">
        <v>894</v>
      </c>
      <c r="B762" s="285" t="s">
        <v>895</v>
      </c>
      <c r="C762" s="298" t="s">
        <v>230</v>
      </c>
      <c r="D762" s="15">
        <f>15.92*1.05</f>
        <v>16.72</v>
      </c>
      <c r="E762" s="16">
        <f t="shared" si="79"/>
        <v>3.34</v>
      </c>
      <c r="F762" s="164">
        <f t="shared" si="80"/>
        <v>20.059999999999999</v>
      </c>
      <c r="G762" s="143"/>
      <c r="H762" s="4"/>
      <c r="I762" s="72"/>
      <c r="J762" s="4"/>
      <c r="K762" s="42"/>
      <c r="L762" s="4"/>
      <c r="M762" s="4"/>
      <c r="N762" s="4"/>
      <c r="O762" s="4"/>
      <c r="Y762" s="153"/>
      <c r="BI762" s="154"/>
      <c r="BJ762" s="20"/>
    </row>
    <row r="763" spans="1:62" s="19" customFormat="1" ht="46.5" customHeight="1" x14ac:dyDescent="0.2">
      <c r="A763" s="288" t="s">
        <v>896</v>
      </c>
      <c r="B763" s="285" t="s">
        <v>897</v>
      </c>
      <c r="C763" s="298" t="s">
        <v>230</v>
      </c>
      <c r="D763" s="15">
        <f>119.6*1.05</f>
        <v>125.58</v>
      </c>
      <c r="E763" s="16">
        <f t="shared" si="79"/>
        <v>25.12</v>
      </c>
      <c r="F763" s="164">
        <f t="shared" si="80"/>
        <v>150.69999999999999</v>
      </c>
      <c r="G763" s="143"/>
      <c r="H763" s="4"/>
      <c r="I763" s="72"/>
      <c r="J763" s="4"/>
      <c r="K763" s="42"/>
      <c r="L763" s="4"/>
      <c r="M763" s="4"/>
      <c r="N763" s="4"/>
      <c r="O763" s="4"/>
      <c r="Y763" s="153"/>
      <c r="BI763" s="154"/>
      <c r="BJ763" s="20"/>
    </row>
    <row r="764" spans="1:62" s="19" customFormat="1" ht="22.5" customHeight="1" x14ac:dyDescent="0.2">
      <c r="A764" s="288" t="s">
        <v>898</v>
      </c>
      <c r="B764" s="285" t="s">
        <v>899</v>
      </c>
      <c r="C764" s="298" t="s">
        <v>230</v>
      </c>
      <c r="D764" s="15">
        <f>116.5*1.05</f>
        <v>122.33</v>
      </c>
      <c r="E764" s="16">
        <f t="shared" si="79"/>
        <v>24.47</v>
      </c>
      <c r="F764" s="164">
        <f t="shared" si="80"/>
        <v>146.80000000000001</v>
      </c>
      <c r="G764" s="143"/>
      <c r="H764" s="4"/>
      <c r="I764" s="72"/>
      <c r="J764" s="4"/>
      <c r="K764" s="42"/>
      <c r="L764" s="4"/>
      <c r="M764" s="4"/>
      <c r="N764" s="4"/>
      <c r="O764" s="4"/>
      <c r="Y764" s="153"/>
      <c r="BI764" s="154"/>
      <c r="BJ764" s="20"/>
    </row>
    <row r="765" spans="1:62" s="19" customFormat="1" ht="20.25" customHeight="1" x14ac:dyDescent="0.2">
      <c r="A765" s="288" t="s">
        <v>900</v>
      </c>
      <c r="B765" s="285" t="s">
        <v>901</v>
      </c>
      <c r="C765" s="298" t="s">
        <v>230</v>
      </c>
      <c r="D765" s="15">
        <f>258.78*1.05</f>
        <v>271.72000000000003</v>
      </c>
      <c r="E765" s="16">
        <f t="shared" si="79"/>
        <v>54.34</v>
      </c>
      <c r="F765" s="164">
        <f t="shared" si="80"/>
        <v>326.06</v>
      </c>
      <c r="G765" s="143"/>
      <c r="H765" s="4"/>
      <c r="I765" s="72"/>
      <c r="J765" s="4"/>
      <c r="K765" s="42"/>
      <c r="L765" s="4"/>
      <c r="M765" s="4"/>
      <c r="N765" s="4"/>
      <c r="O765" s="4"/>
      <c r="Y765" s="153"/>
      <c r="BI765" s="154"/>
      <c r="BJ765" s="20"/>
    </row>
    <row r="766" spans="1:62" s="19" customFormat="1" ht="17.25" customHeight="1" x14ac:dyDescent="0.2">
      <c r="A766" s="288" t="s">
        <v>902</v>
      </c>
      <c r="B766" s="285" t="s">
        <v>903</v>
      </c>
      <c r="C766" s="298" t="s">
        <v>230</v>
      </c>
      <c r="D766" s="15">
        <f>184.24*1.05</f>
        <v>193.45</v>
      </c>
      <c r="E766" s="16">
        <f t="shared" si="79"/>
        <v>38.69</v>
      </c>
      <c r="F766" s="164">
        <f t="shared" si="80"/>
        <v>232.14</v>
      </c>
      <c r="G766" s="143"/>
      <c r="H766" s="4"/>
      <c r="I766" s="72"/>
      <c r="J766" s="4"/>
      <c r="K766" s="42"/>
      <c r="L766" s="4"/>
      <c r="M766" s="4"/>
      <c r="N766" s="4"/>
      <c r="O766" s="4"/>
      <c r="Y766" s="153"/>
      <c r="BI766" s="154"/>
      <c r="BJ766" s="20"/>
    </row>
    <row r="767" spans="1:62" s="19" customFormat="1" ht="20.25" customHeight="1" x14ac:dyDescent="0.2">
      <c r="A767" s="288" t="s">
        <v>904</v>
      </c>
      <c r="B767" s="285" t="s">
        <v>905</v>
      </c>
      <c r="C767" s="298" t="s">
        <v>230</v>
      </c>
      <c r="D767" s="15">
        <f>136.32*1.05</f>
        <v>143.13999999999999</v>
      </c>
      <c r="E767" s="16">
        <f t="shared" si="79"/>
        <v>28.63</v>
      </c>
      <c r="F767" s="164">
        <f t="shared" si="80"/>
        <v>171.77</v>
      </c>
      <c r="G767" s="143"/>
      <c r="H767" s="4"/>
      <c r="I767" s="72"/>
      <c r="J767" s="4"/>
      <c r="K767" s="42"/>
      <c r="L767" s="4"/>
      <c r="M767" s="4"/>
      <c r="N767" s="4"/>
      <c r="O767" s="4"/>
      <c r="Y767" s="153"/>
      <c r="BI767" s="154"/>
      <c r="BJ767" s="20"/>
    </row>
    <row r="768" spans="1:62" s="19" customFormat="1" ht="17.25" customHeight="1" x14ac:dyDescent="0.2">
      <c r="A768" s="288" t="s">
        <v>906</v>
      </c>
      <c r="B768" s="285" t="s">
        <v>907</v>
      </c>
      <c r="C768" s="298" t="s">
        <v>230</v>
      </c>
      <c r="D768" s="15">
        <f>173.58*1.05</f>
        <v>182.26</v>
      </c>
      <c r="E768" s="16">
        <f t="shared" si="79"/>
        <v>36.450000000000003</v>
      </c>
      <c r="F768" s="164">
        <f t="shared" si="80"/>
        <v>218.71</v>
      </c>
      <c r="G768" s="143"/>
      <c r="H768" s="4"/>
      <c r="I768" s="72"/>
      <c r="J768" s="4"/>
      <c r="K768" s="42"/>
      <c r="L768" s="4"/>
      <c r="M768" s="4"/>
      <c r="N768" s="4"/>
      <c r="O768" s="4"/>
      <c r="Y768" s="153"/>
      <c r="BI768" s="154"/>
      <c r="BJ768" s="20"/>
    </row>
    <row r="769" spans="1:62" s="19" customFormat="1" ht="18" customHeight="1" x14ac:dyDescent="0.2">
      <c r="A769" s="288" t="s">
        <v>908</v>
      </c>
      <c r="B769" s="285" t="s">
        <v>909</v>
      </c>
      <c r="C769" s="298" t="s">
        <v>230</v>
      </c>
      <c r="D769" s="15">
        <f>43.01*1.05</f>
        <v>45.16</v>
      </c>
      <c r="E769" s="16">
        <f t="shared" si="79"/>
        <v>9.0299999999999994</v>
      </c>
      <c r="F769" s="164">
        <f>D769+E769</f>
        <v>54.19</v>
      </c>
      <c r="G769" s="143"/>
      <c r="H769" s="4"/>
      <c r="I769" s="72"/>
      <c r="J769" s="4"/>
      <c r="K769" s="42"/>
      <c r="L769" s="4"/>
      <c r="M769" s="4"/>
      <c r="N769" s="4"/>
      <c r="O769" s="4"/>
      <c r="Y769" s="153"/>
      <c r="BI769" s="154"/>
      <c r="BJ769" s="20"/>
    </row>
    <row r="770" spans="1:62" s="19" customFormat="1" ht="16.5" customHeight="1" x14ac:dyDescent="0.2">
      <c r="A770" s="288" t="s">
        <v>910</v>
      </c>
      <c r="B770" s="285" t="s">
        <v>911</v>
      </c>
      <c r="C770" s="298" t="s">
        <v>230</v>
      </c>
      <c r="D770" s="15">
        <f>102.7*1.05</f>
        <v>107.84</v>
      </c>
      <c r="E770" s="16">
        <f t="shared" si="79"/>
        <v>21.57</v>
      </c>
      <c r="F770" s="15">
        <f t="shared" si="80"/>
        <v>129.41</v>
      </c>
      <c r="G770" s="143"/>
      <c r="H770" s="4"/>
      <c r="I770" s="72"/>
      <c r="J770" s="4"/>
      <c r="K770" s="42"/>
      <c r="L770" s="4"/>
      <c r="M770" s="4"/>
      <c r="N770" s="4"/>
      <c r="O770" s="4"/>
      <c r="Y770" s="153"/>
      <c r="BI770" s="154"/>
      <c r="BJ770" s="20"/>
    </row>
    <row r="771" spans="1:62" s="19" customFormat="1" ht="17.25" customHeight="1" x14ac:dyDescent="0.2">
      <c r="A771" s="288" t="s">
        <v>912</v>
      </c>
      <c r="B771" s="285" t="s">
        <v>913</v>
      </c>
      <c r="C771" s="298" t="s">
        <v>230</v>
      </c>
      <c r="D771" s="15">
        <f>219.56*1.05</f>
        <v>230.54</v>
      </c>
      <c r="E771" s="16">
        <f t="shared" si="79"/>
        <v>46.11</v>
      </c>
      <c r="F771" s="164">
        <f t="shared" si="80"/>
        <v>276.64999999999998</v>
      </c>
      <c r="G771" s="143"/>
      <c r="H771" s="4"/>
      <c r="I771" s="72"/>
      <c r="J771" s="4"/>
      <c r="K771" s="42"/>
      <c r="L771" s="4"/>
      <c r="M771" s="4"/>
      <c r="N771" s="4"/>
      <c r="O771" s="4"/>
      <c r="Y771" s="153"/>
      <c r="BI771" s="154"/>
      <c r="BJ771" s="20"/>
    </row>
    <row r="772" spans="1:62" s="19" customFormat="1" ht="27.75" customHeight="1" x14ac:dyDescent="0.2">
      <c r="A772" s="288" t="s">
        <v>914</v>
      </c>
      <c r="B772" s="285" t="s">
        <v>719</v>
      </c>
      <c r="C772" s="298" t="s">
        <v>230</v>
      </c>
      <c r="D772" s="15">
        <f>16.86*1.05</f>
        <v>17.7</v>
      </c>
      <c r="E772" s="16">
        <f t="shared" si="79"/>
        <v>3.54</v>
      </c>
      <c r="F772" s="164">
        <f t="shared" si="80"/>
        <v>21.24</v>
      </c>
      <c r="G772" s="143"/>
      <c r="H772" s="4"/>
      <c r="I772" s="72"/>
      <c r="J772" s="4"/>
      <c r="K772" s="42"/>
      <c r="L772" s="4"/>
      <c r="M772" s="4"/>
      <c r="N772" s="4"/>
      <c r="O772" s="4"/>
      <c r="Y772" s="153"/>
      <c r="BI772" s="154"/>
      <c r="BJ772" s="20"/>
    </row>
    <row r="773" spans="1:62" s="19" customFormat="1" ht="22.5" customHeight="1" x14ac:dyDescent="0.2">
      <c r="A773" s="288" t="s">
        <v>915</v>
      </c>
      <c r="B773" s="285" t="s">
        <v>916</v>
      </c>
      <c r="C773" s="298" t="s">
        <v>230</v>
      </c>
      <c r="D773" s="15">
        <f>137.8*1.05</f>
        <v>144.69</v>
      </c>
      <c r="E773" s="16">
        <f t="shared" si="79"/>
        <v>28.94</v>
      </c>
      <c r="F773" s="164">
        <f t="shared" si="80"/>
        <v>173.63</v>
      </c>
      <c r="G773" s="143"/>
      <c r="H773" s="4"/>
      <c r="I773" s="72"/>
      <c r="J773" s="4"/>
      <c r="K773" s="42"/>
      <c r="L773" s="4"/>
      <c r="M773" s="4"/>
      <c r="N773" s="4"/>
      <c r="O773" s="4"/>
      <c r="Y773" s="153"/>
      <c r="BI773" s="154"/>
      <c r="BJ773" s="20"/>
    </row>
    <row r="774" spans="1:62" s="19" customFormat="1" ht="46.5" customHeight="1" x14ac:dyDescent="0.2">
      <c r="A774" s="288" t="s">
        <v>917</v>
      </c>
      <c r="B774" s="285" t="s">
        <v>918</v>
      </c>
      <c r="C774" s="298" t="s">
        <v>230</v>
      </c>
      <c r="D774" s="15">
        <f>166.97*1.05</f>
        <v>175.32</v>
      </c>
      <c r="E774" s="16">
        <f t="shared" si="79"/>
        <v>35.06</v>
      </c>
      <c r="F774" s="164">
        <f>D774+E774</f>
        <v>210.38</v>
      </c>
      <c r="G774" s="143"/>
      <c r="H774" s="4"/>
      <c r="I774" s="72"/>
      <c r="J774" s="4"/>
      <c r="K774" s="42"/>
      <c r="L774" s="4"/>
      <c r="M774" s="4"/>
      <c r="N774" s="4"/>
      <c r="O774" s="4"/>
      <c r="Y774" s="153"/>
      <c r="BI774" s="154"/>
      <c r="BJ774" s="20"/>
    </row>
    <row r="775" spans="1:62" s="19" customFormat="1" ht="15.75" customHeight="1" x14ac:dyDescent="0.2">
      <c r="A775" s="288" t="s">
        <v>919</v>
      </c>
      <c r="B775" s="285" t="s">
        <v>737</v>
      </c>
      <c r="C775" s="298" t="s">
        <v>230</v>
      </c>
      <c r="D775" s="15">
        <f>209.1*1.05</f>
        <v>219.56</v>
      </c>
      <c r="E775" s="16">
        <f t="shared" si="79"/>
        <v>43.91</v>
      </c>
      <c r="F775" s="164">
        <f t="shared" si="80"/>
        <v>263.47000000000003</v>
      </c>
      <c r="G775" s="143"/>
      <c r="H775" s="4"/>
      <c r="I775" s="72"/>
      <c r="J775" s="4"/>
      <c r="K775" s="42"/>
      <c r="L775" s="4"/>
      <c r="M775" s="4"/>
      <c r="N775" s="4"/>
      <c r="O775" s="4"/>
      <c r="Y775" s="153"/>
      <c r="BI775" s="154"/>
      <c r="BJ775" s="20"/>
    </row>
    <row r="776" spans="1:62" s="19" customFormat="1" ht="20.25" customHeight="1" x14ac:dyDescent="0.2">
      <c r="A776" s="288" t="s">
        <v>920</v>
      </c>
      <c r="B776" s="285" t="s">
        <v>921</v>
      </c>
      <c r="C776" s="298" t="s">
        <v>230</v>
      </c>
      <c r="D776" s="15">
        <f>96.8*1.05</f>
        <v>101.64</v>
      </c>
      <c r="E776" s="16">
        <f t="shared" si="79"/>
        <v>20.329999999999998</v>
      </c>
      <c r="F776" s="164">
        <f t="shared" si="80"/>
        <v>121.97</v>
      </c>
      <c r="G776" s="143"/>
      <c r="H776" s="4"/>
      <c r="I776" s="72"/>
      <c r="J776" s="4"/>
      <c r="K776" s="42"/>
      <c r="L776" s="4"/>
      <c r="M776" s="4"/>
      <c r="N776" s="4"/>
      <c r="O776" s="4"/>
      <c r="Y776" s="153"/>
      <c r="BI776" s="154"/>
      <c r="BJ776" s="20"/>
    </row>
    <row r="777" spans="1:62" s="19" customFormat="1" ht="18.75" customHeight="1" x14ac:dyDescent="0.2">
      <c r="A777" s="288" t="s">
        <v>922</v>
      </c>
      <c r="B777" s="285" t="s">
        <v>923</v>
      </c>
      <c r="C777" s="298" t="s">
        <v>230</v>
      </c>
      <c r="D777" s="15">
        <f>84.16*1.05</f>
        <v>88.37</v>
      </c>
      <c r="E777" s="16">
        <f t="shared" si="79"/>
        <v>17.670000000000002</v>
      </c>
      <c r="F777" s="164">
        <f t="shared" si="80"/>
        <v>106.04</v>
      </c>
      <c r="G777" s="143"/>
      <c r="H777" s="4"/>
      <c r="I777" s="72"/>
      <c r="J777" s="4"/>
      <c r="K777" s="42"/>
      <c r="L777" s="4"/>
      <c r="M777" s="4"/>
      <c r="N777" s="4"/>
      <c r="O777" s="4"/>
      <c r="Y777" s="153"/>
      <c r="BI777" s="154"/>
      <c r="BJ777" s="20"/>
    </row>
    <row r="778" spans="1:62" s="19" customFormat="1" ht="16.5" customHeight="1" x14ac:dyDescent="0.2">
      <c r="A778" s="288" t="s">
        <v>924</v>
      </c>
      <c r="B778" s="285" t="s">
        <v>925</v>
      </c>
      <c r="C778" s="298" t="s">
        <v>230</v>
      </c>
      <c r="D778" s="15">
        <f>62.91*1.05</f>
        <v>66.06</v>
      </c>
      <c r="E778" s="16">
        <f t="shared" si="79"/>
        <v>13.21</v>
      </c>
      <c r="F778" s="164">
        <f t="shared" si="80"/>
        <v>79.27</v>
      </c>
      <c r="G778" s="143"/>
      <c r="H778" s="4"/>
      <c r="I778" s="72"/>
      <c r="J778" s="4"/>
      <c r="K778" s="42"/>
      <c r="L778" s="4"/>
      <c r="M778" s="4"/>
      <c r="N778" s="4"/>
      <c r="O778" s="4"/>
      <c r="Y778" s="153"/>
      <c r="BI778" s="154"/>
      <c r="BJ778" s="20"/>
    </row>
    <row r="779" spans="1:62" s="19" customFormat="1" ht="30" customHeight="1" x14ac:dyDescent="0.2">
      <c r="A779" s="288" t="s">
        <v>926</v>
      </c>
      <c r="B779" s="285" t="s">
        <v>927</v>
      </c>
      <c r="C779" s="298" t="s">
        <v>230</v>
      </c>
      <c r="D779" s="15">
        <f>125.84*1.05</f>
        <v>132.13</v>
      </c>
      <c r="E779" s="16">
        <f t="shared" si="79"/>
        <v>26.43</v>
      </c>
      <c r="F779" s="164">
        <f t="shared" si="80"/>
        <v>158.56</v>
      </c>
      <c r="G779" s="143"/>
      <c r="H779" s="4"/>
      <c r="I779" s="72"/>
      <c r="J779" s="4"/>
      <c r="K779" s="42"/>
      <c r="L779" s="4"/>
      <c r="M779" s="4"/>
      <c r="N779" s="4"/>
      <c r="O779" s="4"/>
      <c r="Y779" s="153"/>
      <c r="BI779" s="154"/>
      <c r="BJ779" s="20"/>
    </row>
    <row r="780" spans="1:62" s="19" customFormat="1" ht="21.75" customHeight="1" x14ac:dyDescent="0.2">
      <c r="A780" s="288" t="s">
        <v>928</v>
      </c>
      <c r="B780" s="285" t="s">
        <v>929</v>
      </c>
      <c r="C780" s="298" t="s">
        <v>230</v>
      </c>
      <c r="D780" s="15">
        <f>96.64*1.05</f>
        <v>101.47</v>
      </c>
      <c r="E780" s="16">
        <f t="shared" si="79"/>
        <v>20.29</v>
      </c>
      <c r="F780" s="164">
        <f t="shared" si="80"/>
        <v>121.76</v>
      </c>
      <c r="G780" s="143"/>
      <c r="H780" s="4"/>
      <c r="I780" s="72"/>
      <c r="J780" s="4"/>
      <c r="K780" s="42"/>
      <c r="L780" s="4"/>
      <c r="M780" s="4"/>
      <c r="N780" s="4"/>
      <c r="O780" s="4"/>
      <c r="Y780" s="153"/>
      <c r="BI780" s="154"/>
      <c r="BJ780" s="20"/>
    </row>
    <row r="781" spans="1:62" s="19" customFormat="1" ht="25.5" customHeight="1" x14ac:dyDescent="0.2">
      <c r="A781" s="288" t="s">
        <v>930</v>
      </c>
      <c r="B781" s="285" t="s">
        <v>931</v>
      </c>
      <c r="C781" s="298" t="s">
        <v>230</v>
      </c>
      <c r="D781" s="15">
        <f>117.09*1.05</f>
        <v>122.94</v>
      </c>
      <c r="E781" s="16">
        <f t="shared" si="79"/>
        <v>24.59</v>
      </c>
      <c r="F781" s="164">
        <f t="shared" si="80"/>
        <v>147.53</v>
      </c>
      <c r="G781" s="143"/>
      <c r="H781" s="4"/>
      <c r="I781" s="72"/>
      <c r="J781" s="4"/>
      <c r="K781" s="42"/>
      <c r="L781" s="4"/>
      <c r="M781" s="4"/>
      <c r="N781" s="4"/>
      <c r="O781" s="4"/>
      <c r="Y781" s="153"/>
      <c r="BI781" s="154"/>
      <c r="BJ781" s="20"/>
    </row>
    <row r="782" spans="1:62" s="19" customFormat="1" ht="21.75" customHeight="1" x14ac:dyDescent="0.2">
      <c r="A782" s="288" t="s">
        <v>932</v>
      </c>
      <c r="B782" s="285" t="s">
        <v>933</v>
      </c>
      <c r="C782" s="298" t="s">
        <v>230</v>
      </c>
      <c r="D782" s="15">
        <f>100.1*1.05</f>
        <v>105.11</v>
      </c>
      <c r="E782" s="16">
        <f t="shared" si="79"/>
        <v>21.02</v>
      </c>
      <c r="F782" s="164">
        <f>D782+E782</f>
        <v>126.13</v>
      </c>
      <c r="G782" s="143"/>
      <c r="H782" s="4"/>
      <c r="I782" s="72"/>
      <c r="J782" s="4"/>
      <c r="K782" s="42"/>
      <c r="L782" s="4"/>
      <c r="M782" s="4"/>
      <c r="N782" s="4"/>
      <c r="O782" s="4"/>
      <c r="Y782" s="153"/>
      <c r="BI782" s="154"/>
      <c r="BJ782" s="20"/>
    </row>
    <row r="783" spans="1:62" s="19" customFormat="1" ht="29.25" customHeight="1" x14ac:dyDescent="0.2">
      <c r="A783" s="288" t="s">
        <v>934</v>
      </c>
      <c r="B783" s="285" t="s">
        <v>747</v>
      </c>
      <c r="C783" s="298" t="s">
        <v>230</v>
      </c>
      <c r="D783" s="15">
        <f>43.55*1.05</f>
        <v>45.73</v>
      </c>
      <c r="E783" s="16">
        <f t="shared" si="79"/>
        <v>9.15</v>
      </c>
      <c r="F783" s="164">
        <f>D783+E783</f>
        <v>54.88</v>
      </c>
      <c r="G783" s="143"/>
      <c r="H783" s="4"/>
      <c r="I783" s="72"/>
      <c r="J783" s="4"/>
      <c r="K783" s="42"/>
      <c r="L783" s="4"/>
      <c r="M783" s="4"/>
      <c r="N783" s="4"/>
      <c r="O783" s="4"/>
      <c r="Y783" s="153"/>
      <c r="BI783" s="154"/>
      <c r="BJ783" s="20"/>
    </row>
    <row r="784" spans="1:62" s="19" customFormat="1" ht="19.5" customHeight="1" x14ac:dyDescent="0.2">
      <c r="A784" s="288"/>
      <c r="B784" s="313" t="s">
        <v>470</v>
      </c>
      <c r="C784" s="313"/>
      <c r="D784" s="313"/>
      <c r="E784" s="313"/>
      <c r="F784" s="313"/>
      <c r="G784" s="143"/>
      <c r="H784" s="4"/>
      <c r="I784" s="72"/>
      <c r="J784" s="4"/>
      <c r="K784" s="42"/>
      <c r="L784" s="4"/>
      <c r="M784" s="4"/>
      <c r="N784" s="4"/>
      <c r="O784" s="4"/>
      <c r="Y784" s="153"/>
      <c r="BI784" s="154"/>
      <c r="BJ784" s="20"/>
    </row>
    <row r="785" spans="1:62" s="19" customFormat="1" ht="16.5" customHeight="1" x14ac:dyDescent="0.2">
      <c r="A785" s="288" t="s">
        <v>935</v>
      </c>
      <c r="B785" s="285" t="s">
        <v>936</v>
      </c>
      <c r="C785" s="298" t="s">
        <v>230</v>
      </c>
      <c r="D785" s="15">
        <f>268.46*1.05</f>
        <v>281.88</v>
      </c>
      <c r="E785" s="16">
        <f t="shared" ref="E785:E796" si="81">D785*20%</f>
        <v>56.38</v>
      </c>
      <c r="F785" s="164">
        <f t="shared" ref="F785:F796" si="82">D785+E785</f>
        <v>338.26</v>
      </c>
      <c r="G785" s="143"/>
      <c r="H785" s="4"/>
      <c r="I785" s="72"/>
      <c r="J785" s="4"/>
      <c r="K785" s="42"/>
      <c r="L785" s="4"/>
      <c r="M785" s="4"/>
      <c r="N785" s="4"/>
      <c r="O785" s="4"/>
      <c r="Y785" s="153"/>
      <c r="BI785" s="154"/>
      <c r="BJ785" s="20"/>
    </row>
    <row r="786" spans="1:62" s="19" customFormat="1" ht="18" customHeight="1" x14ac:dyDescent="0.2">
      <c r="A786" s="288" t="s">
        <v>937</v>
      </c>
      <c r="B786" s="300" t="s">
        <v>938</v>
      </c>
      <c r="C786" s="298" t="s">
        <v>230</v>
      </c>
      <c r="D786" s="15">
        <f>285.77*1.05</f>
        <v>300.06</v>
      </c>
      <c r="E786" s="16">
        <f t="shared" si="81"/>
        <v>60.01</v>
      </c>
      <c r="F786" s="164">
        <f>D786+E786</f>
        <v>360.07</v>
      </c>
      <c r="G786" s="143"/>
      <c r="H786" s="4"/>
      <c r="I786" s="72"/>
      <c r="J786" s="4"/>
      <c r="K786" s="42"/>
      <c r="L786" s="4"/>
      <c r="M786" s="4"/>
      <c r="N786" s="4"/>
      <c r="O786" s="4"/>
      <c r="Y786" s="153"/>
      <c r="BI786" s="154"/>
      <c r="BJ786" s="20"/>
    </row>
    <row r="787" spans="1:62" s="19" customFormat="1" ht="18" customHeight="1" x14ac:dyDescent="0.2">
      <c r="A787" s="288" t="s">
        <v>939</v>
      </c>
      <c r="B787" s="300" t="s">
        <v>940</v>
      </c>
      <c r="C787" s="298" t="s">
        <v>230</v>
      </c>
      <c r="D787" s="145">
        <f>128.52*1.05</f>
        <v>134.94999999999999</v>
      </c>
      <c r="E787" s="16">
        <f t="shared" si="81"/>
        <v>26.99</v>
      </c>
      <c r="F787" s="164">
        <f t="shared" si="82"/>
        <v>161.94</v>
      </c>
      <c r="G787" s="143"/>
      <c r="H787" s="4"/>
      <c r="I787" s="72"/>
      <c r="J787" s="4"/>
      <c r="K787" s="42"/>
      <c r="L787" s="4"/>
      <c r="M787" s="4"/>
      <c r="N787" s="4"/>
      <c r="O787" s="4"/>
      <c r="Y787" s="153"/>
      <c r="BI787" s="154"/>
      <c r="BJ787" s="20"/>
    </row>
    <row r="788" spans="1:62" s="19" customFormat="1" ht="18.75" customHeight="1" x14ac:dyDescent="0.2">
      <c r="A788" s="288" t="s">
        <v>941</v>
      </c>
      <c r="B788" s="285" t="s">
        <v>942</v>
      </c>
      <c r="C788" s="298" t="s">
        <v>230</v>
      </c>
      <c r="D788" s="145">
        <f>128.52*1.05</f>
        <v>134.94999999999999</v>
      </c>
      <c r="E788" s="16">
        <f t="shared" si="81"/>
        <v>26.99</v>
      </c>
      <c r="F788" s="164">
        <f t="shared" si="82"/>
        <v>161.94</v>
      </c>
      <c r="G788" s="143"/>
      <c r="H788" s="4"/>
      <c r="I788" s="72"/>
      <c r="J788" s="4"/>
      <c r="K788" s="42"/>
      <c r="L788" s="4"/>
      <c r="M788" s="4"/>
      <c r="N788" s="4"/>
      <c r="O788" s="4"/>
      <c r="Y788" s="153"/>
      <c r="BI788" s="154"/>
      <c r="BJ788" s="20"/>
    </row>
    <row r="789" spans="1:62" s="19" customFormat="1" ht="19.5" customHeight="1" x14ac:dyDescent="0.2">
      <c r="A789" s="288" t="s">
        <v>943</v>
      </c>
      <c r="B789" s="285" t="s">
        <v>944</v>
      </c>
      <c r="C789" s="298" t="s">
        <v>230</v>
      </c>
      <c r="D789" s="145">
        <f>144.8*1.05</f>
        <v>152.04</v>
      </c>
      <c r="E789" s="16">
        <f t="shared" si="81"/>
        <v>30.41</v>
      </c>
      <c r="F789" s="164">
        <f t="shared" si="82"/>
        <v>182.45</v>
      </c>
      <c r="G789" s="143"/>
      <c r="H789" s="4"/>
      <c r="I789" s="72"/>
      <c r="J789" s="4"/>
      <c r="K789" s="42"/>
      <c r="L789" s="4"/>
      <c r="M789" s="4"/>
      <c r="N789" s="4"/>
      <c r="O789" s="4"/>
      <c r="Y789" s="153"/>
      <c r="BI789" s="154"/>
      <c r="BJ789" s="20"/>
    </row>
    <row r="790" spans="1:62" s="19" customFormat="1" ht="33.75" customHeight="1" x14ac:dyDescent="0.2">
      <c r="A790" s="288" t="s">
        <v>945</v>
      </c>
      <c r="B790" s="285" t="s">
        <v>946</v>
      </c>
      <c r="C790" s="298" t="s">
        <v>230</v>
      </c>
      <c r="D790" s="145">
        <f>168.35*1.05</f>
        <v>176.77</v>
      </c>
      <c r="E790" s="16">
        <f t="shared" si="81"/>
        <v>35.35</v>
      </c>
      <c r="F790" s="164">
        <f t="shared" si="82"/>
        <v>212.12</v>
      </c>
      <c r="G790" s="143"/>
      <c r="H790" s="4"/>
      <c r="I790" s="72"/>
      <c r="J790" s="4"/>
      <c r="K790" s="42"/>
      <c r="L790" s="4"/>
      <c r="M790" s="4"/>
      <c r="N790" s="4"/>
      <c r="O790" s="4"/>
      <c r="Y790" s="153"/>
      <c r="BI790" s="154"/>
      <c r="BJ790" s="20"/>
    </row>
    <row r="791" spans="1:62" s="19" customFormat="1" ht="22.5" customHeight="1" x14ac:dyDescent="0.2">
      <c r="A791" s="288" t="s">
        <v>947</v>
      </c>
      <c r="B791" s="285" t="s">
        <v>948</v>
      </c>
      <c r="C791" s="298" t="s">
        <v>230</v>
      </c>
      <c r="D791" s="145">
        <f>203.5*1.05</f>
        <v>213.68</v>
      </c>
      <c r="E791" s="16">
        <f t="shared" si="81"/>
        <v>42.74</v>
      </c>
      <c r="F791" s="164">
        <f t="shared" si="82"/>
        <v>256.42</v>
      </c>
      <c r="G791" s="143"/>
      <c r="H791" s="4"/>
      <c r="I791" s="72"/>
      <c r="J791" s="4"/>
      <c r="K791" s="42"/>
      <c r="L791" s="4"/>
      <c r="M791" s="4"/>
      <c r="N791" s="4"/>
      <c r="O791" s="4"/>
      <c r="Y791" s="153"/>
      <c r="BI791" s="154"/>
      <c r="BJ791" s="20"/>
    </row>
    <row r="792" spans="1:62" s="19" customFormat="1" ht="46.5" customHeight="1" x14ac:dyDescent="0.2">
      <c r="A792" s="288" t="s">
        <v>949</v>
      </c>
      <c r="B792" s="285" t="s">
        <v>950</v>
      </c>
      <c r="C792" s="298" t="s">
        <v>230</v>
      </c>
      <c r="D792" s="15">
        <f>425.62*1.05</f>
        <v>446.9</v>
      </c>
      <c r="E792" s="16">
        <f t="shared" si="81"/>
        <v>89.38</v>
      </c>
      <c r="F792" s="164">
        <f t="shared" si="82"/>
        <v>536.28</v>
      </c>
      <c r="G792" s="143"/>
      <c r="H792" s="4"/>
      <c r="I792" s="72"/>
      <c r="J792" s="4"/>
      <c r="K792" s="42"/>
      <c r="L792" s="4"/>
      <c r="M792" s="4"/>
      <c r="N792" s="4"/>
      <c r="O792" s="4"/>
      <c r="Y792" s="153"/>
      <c r="BI792" s="154"/>
      <c r="BJ792" s="20"/>
    </row>
    <row r="793" spans="1:62" s="19" customFormat="1" ht="33" customHeight="1" x14ac:dyDescent="0.2">
      <c r="A793" s="288" t="s">
        <v>951</v>
      </c>
      <c r="B793" s="285" t="s">
        <v>952</v>
      </c>
      <c r="C793" s="298" t="s">
        <v>230</v>
      </c>
      <c r="D793" s="15">
        <f>355*1.05</f>
        <v>372.75</v>
      </c>
      <c r="E793" s="16">
        <f t="shared" si="81"/>
        <v>74.55</v>
      </c>
      <c r="F793" s="164">
        <f t="shared" si="82"/>
        <v>447.3</v>
      </c>
      <c r="G793" s="143"/>
      <c r="H793" s="4"/>
      <c r="I793" s="72"/>
      <c r="J793" s="4"/>
      <c r="K793" s="42"/>
      <c r="L793" s="4"/>
      <c r="M793" s="4"/>
      <c r="N793" s="4"/>
      <c r="O793" s="4"/>
      <c r="Y793" s="153"/>
      <c r="BI793" s="154"/>
      <c r="BJ793" s="20"/>
    </row>
    <row r="794" spans="1:62" s="19" customFormat="1" ht="18" customHeight="1" x14ac:dyDescent="0.2">
      <c r="A794" s="288" t="s">
        <v>953</v>
      </c>
      <c r="B794" s="285" t="s">
        <v>954</v>
      </c>
      <c r="C794" s="298" t="s">
        <v>230</v>
      </c>
      <c r="D794" s="15">
        <f>348.02*1.05</f>
        <v>365.42</v>
      </c>
      <c r="E794" s="16">
        <f t="shared" si="81"/>
        <v>73.08</v>
      </c>
      <c r="F794" s="164">
        <f t="shared" si="82"/>
        <v>438.5</v>
      </c>
      <c r="G794" s="143"/>
      <c r="H794" s="4"/>
      <c r="I794" s="72"/>
      <c r="J794" s="4"/>
      <c r="K794" s="42"/>
      <c r="L794" s="4"/>
      <c r="M794" s="4"/>
      <c r="N794" s="4"/>
      <c r="O794" s="4"/>
      <c r="Y794" s="153"/>
      <c r="BI794" s="154"/>
      <c r="BJ794" s="20"/>
    </row>
    <row r="795" spans="1:62" s="19" customFormat="1" ht="18" customHeight="1" x14ac:dyDescent="0.2">
      <c r="A795" s="288" t="s">
        <v>955</v>
      </c>
      <c r="B795" s="285" t="s">
        <v>956</v>
      </c>
      <c r="C795" s="298" t="s">
        <v>230</v>
      </c>
      <c r="D795" s="15">
        <f>320.6*1.05</f>
        <v>336.63</v>
      </c>
      <c r="E795" s="16">
        <f t="shared" si="81"/>
        <v>67.33</v>
      </c>
      <c r="F795" s="164">
        <f t="shared" si="82"/>
        <v>403.96</v>
      </c>
      <c r="G795" s="143"/>
      <c r="H795" s="4"/>
      <c r="I795" s="72"/>
      <c r="J795" s="4"/>
      <c r="K795" s="42"/>
      <c r="L795" s="4"/>
      <c r="M795" s="4"/>
      <c r="N795" s="4"/>
      <c r="O795" s="4"/>
      <c r="Y795" s="153"/>
      <c r="BI795" s="154"/>
      <c r="BJ795" s="20"/>
    </row>
    <row r="796" spans="1:62" s="19" customFormat="1" ht="30" customHeight="1" x14ac:dyDescent="0.2">
      <c r="A796" s="288" t="s">
        <v>957</v>
      </c>
      <c r="B796" s="285" t="s">
        <v>958</v>
      </c>
      <c r="C796" s="298" t="s">
        <v>230</v>
      </c>
      <c r="D796" s="15">
        <f>158.16*1.05</f>
        <v>166.07</v>
      </c>
      <c r="E796" s="16">
        <f t="shared" si="81"/>
        <v>33.21</v>
      </c>
      <c r="F796" s="164">
        <f t="shared" si="82"/>
        <v>199.28</v>
      </c>
      <c r="G796" s="143"/>
      <c r="H796" s="4"/>
      <c r="I796" s="72"/>
      <c r="J796" s="4"/>
      <c r="K796" s="42"/>
      <c r="L796" s="4"/>
      <c r="M796" s="4"/>
      <c r="N796" s="4"/>
      <c r="O796" s="4"/>
      <c r="Y796" s="153"/>
      <c r="BI796" s="154"/>
      <c r="BJ796" s="20"/>
    </row>
    <row r="797" spans="1:62" s="19" customFormat="1" ht="19.5" customHeight="1" x14ac:dyDescent="0.2">
      <c r="A797" s="278" t="s">
        <v>55</v>
      </c>
      <c r="B797" s="312" t="s">
        <v>959</v>
      </c>
      <c r="C797" s="312"/>
      <c r="D797" s="312"/>
      <c r="E797" s="312"/>
      <c r="F797" s="312"/>
      <c r="G797" s="143"/>
      <c r="H797" s="4"/>
      <c r="I797" s="72"/>
      <c r="J797" s="4"/>
      <c r="K797" s="42"/>
      <c r="L797" s="4"/>
      <c r="M797" s="4"/>
      <c r="N797" s="4"/>
      <c r="O797" s="4"/>
      <c r="Y797" s="153"/>
      <c r="BI797" s="154"/>
      <c r="BJ797" s="20"/>
    </row>
    <row r="798" spans="1:62" s="19" customFormat="1" ht="33.75" customHeight="1" x14ac:dyDescent="0.2">
      <c r="A798" s="288" t="s">
        <v>960</v>
      </c>
      <c r="B798" s="285" t="s">
        <v>961</v>
      </c>
      <c r="C798" s="298" t="s">
        <v>230</v>
      </c>
      <c r="D798" s="15">
        <f>159.12*1.05</f>
        <v>167.08</v>
      </c>
      <c r="E798" s="16">
        <f t="shared" ref="E798:E806" si="83">D798*20%</f>
        <v>33.42</v>
      </c>
      <c r="F798" s="164">
        <f t="shared" ref="F798:F806" si="84">D798+E798</f>
        <v>200.5</v>
      </c>
      <c r="G798" s="143"/>
      <c r="H798" s="4"/>
      <c r="I798" s="72"/>
      <c r="J798" s="4"/>
      <c r="K798" s="42"/>
      <c r="L798" s="4"/>
      <c r="M798" s="4"/>
      <c r="N798" s="4"/>
      <c r="O798" s="4"/>
      <c r="Y798" s="153"/>
      <c r="BI798" s="154"/>
      <c r="BJ798" s="20"/>
    </row>
    <row r="799" spans="1:62" s="19" customFormat="1" ht="29.25" customHeight="1" x14ac:dyDescent="0.2">
      <c r="A799" s="288" t="s">
        <v>962</v>
      </c>
      <c r="B799" s="285" t="s">
        <v>963</v>
      </c>
      <c r="C799" s="298" t="s">
        <v>230</v>
      </c>
      <c r="D799" s="15">
        <f>194.48*1.05</f>
        <v>204.2</v>
      </c>
      <c r="E799" s="16">
        <f t="shared" si="83"/>
        <v>40.840000000000003</v>
      </c>
      <c r="F799" s="164">
        <f t="shared" si="84"/>
        <v>245.04</v>
      </c>
      <c r="G799" s="143"/>
      <c r="H799" s="4"/>
      <c r="I799" s="72"/>
      <c r="J799" s="4"/>
      <c r="K799" s="42"/>
      <c r="L799" s="4"/>
      <c r="M799" s="4"/>
      <c r="N799" s="4"/>
      <c r="O799" s="4"/>
      <c r="Y799" s="153"/>
      <c r="BI799" s="154"/>
      <c r="BJ799" s="20"/>
    </row>
    <row r="800" spans="1:62" s="19" customFormat="1" ht="27.75" customHeight="1" x14ac:dyDescent="0.2">
      <c r="A800" s="288" t="s">
        <v>964</v>
      </c>
      <c r="B800" s="285" t="s">
        <v>965</v>
      </c>
      <c r="C800" s="298" t="s">
        <v>230</v>
      </c>
      <c r="D800" s="15">
        <f>92.66*1.05</f>
        <v>97.29</v>
      </c>
      <c r="E800" s="16">
        <f t="shared" si="83"/>
        <v>19.46</v>
      </c>
      <c r="F800" s="164">
        <f t="shared" si="84"/>
        <v>116.75</v>
      </c>
      <c r="G800" s="143"/>
      <c r="H800" s="4"/>
      <c r="I800" s="72"/>
      <c r="J800" s="4"/>
      <c r="K800" s="42"/>
      <c r="L800" s="4"/>
      <c r="M800" s="4"/>
      <c r="N800" s="4"/>
      <c r="O800" s="4"/>
      <c r="Y800" s="153"/>
      <c r="BI800" s="154"/>
      <c r="BJ800" s="20"/>
    </row>
    <row r="801" spans="1:62" s="19" customFormat="1" ht="21.75" customHeight="1" x14ac:dyDescent="0.2">
      <c r="A801" s="288" t="s">
        <v>966</v>
      </c>
      <c r="B801" s="285" t="s">
        <v>967</v>
      </c>
      <c r="C801" s="298" t="s">
        <v>230</v>
      </c>
      <c r="D801" s="15">
        <f>195.97*1.05</f>
        <v>205.77</v>
      </c>
      <c r="E801" s="16">
        <f t="shared" si="83"/>
        <v>41.15</v>
      </c>
      <c r="F801" s="164">
        <f t="shared" si="84"/>
        <v>246.92</v>
      </c>
      <c r="G801" s="143"/>
      <c r="H801" s="4"/>
      <c r="I801" s="72"/>
      <c r="J801" s="4"/>
      <c r="K801" s="42"/>
      <c r="L801" s="4"/>
      <c r="M801" s="4"/>
      <c r="N801" s="4"/>
      <c r="O801" s="4"/>
      <c r="Y801" s="153"/>
      <c r="BI801" s="154"/>
      <c r="BJ801" s="20"/>
    </row>
    <row r="802" spans="1:62" s="19" customFormat="1" ht="21.75" customHeight="1" x14ac:dyDescent="0.2">
      <c r="A802" s="288" t="s">
        <v>968</v>
      </c>
      <c r="B802" s="285" t="s">
        <v>969</v>
      </c>
      <c r="C802" s="298" t="s">
        <v>230</v>
      </c>
      <c r="D802" s="15">
        <f>95.82*1.05</f>
        <v>100.61</v>
      </c>
      <c r="E802" s="16">
        <f t="shared" si="83"/>
        <v>20.12</v>
      </c>
      <c r="F802" s="164">
        <f>D802+E802</f>
        <v>120.73</v>
      </c>
      <c r="G802" s="143"/>
      <c r="H802" s="4"/>
      <c r="I802" s="72"/>
      <c r="J802" s="4"/>
      <c r="K802" s="42"/>
      <c r="L802" s="4"/>
      <c r="M802" s="4"/>
      <c r="N802" s="4"/>
      <c r="O802" s="4"/>
      <c r="Y802" s="153"/>
      <c r="BI802" s="154"/>
      <c r="BJ802" s="20"/>
    </row>
    <row r="803" spans="1:62" s="19" customFormat="1" ht="20.25" customHeight="1" x14ac:dyDescent="0.2">
      <c r="A803" s="288" t="s">
        <v>970</v>
      </c>
      <c r="B803" s="285" t="s">
        <v>971</v>
      </c>
      <c r="C803" s="298" t="s">
        <v>230</v>
      </c>
      <c r="D803" s="15">
        <f>59.28*1.05</f>
        <v>62.24</v>
      </c>
      <c r="E803" s="16">
        <f t="shared" si="83"/>
        <v>12.45</v>
      </c>
      <c r="F803" s="164">
        <f>D803+E803</f>
        <v>74.69</v>
      </c>
      <c r="G803" s="143"/>
      <c r="H803" s="4"/>
      <c r="I803" s="72"/>
      <c r="J803" s="4"/>
      <c r="K803" s="42"/>
      <c r="L803" s="4"/>
      <c r="M803" s="4"/>
      <c r="N803" s="4"/>
      <c r="O803" s="4"/>
      <c r="Y803" s="153"/>
      <c r="BI803" s="154"/>
      <c r="BJ803" s="20"/>
    </row>
    <row r="804" spans="1:62" s="19" customFormat="1" ht="31.5" customHeight="1" x14ac:dyDescent="0.2">
      <c r="A804" s="288" t="s">
        <v>972</v>
      </c>
      <c r="B804" s="285" t="s">
        <v>973</v>
      </c>
      <c r="C804" s="298" t="s">
        <v>230</v>
      </c>
      <c r="D804" s="15">
        <f>21.54*1.05</f>
        <v>22.62</v>
      </c>
      <c r="E804" s="16">
        <f t="shared" si="83"/>
        <v>4.5199999999999996</v>
      </c>
      <c r="F804" s="164">
        <f>D804+E804</f>
        <v>27.14</v>
      </c>
      <c r="G804" s="143"/>
      <c r="H804" s="4"/>
      <c r="I804" s="72"/>
      <c r="J804" s="4"/>
      <c r="K804" s="42"/>
      <c r="L804" s="4"/>
      <c r="M804" s="4"/>
      <c r="N804" s="4"/>
      <c r="O804" s="4"/>
      <c r="Y804" s="153"/>
      <c r="BI804" s="154"/>
      <c r="BJ804" s="20"/>
    </row>
    <row r="805" spans="1:62" s="19" customFormat="1" ht="17.25" customHeight="1" x14ac:dyDescent="0.2">
      <c r="A805" s="288" t="s">
        <v>974</v>
      </c>
      <c r="B805" s="285" t="s">
        <v>975</v>
      </c>
      <c r="C805" s="298" t="s">
        <v>230</v>
      </c>
      <c r="D805" s="15">
        <f>17.52*1.05</f>
        <v>18.399999999999999</v>
      </c>
      <c r="E805" s="16">
        <f t="shared" si="83"/>
        <v>3.68</v>
      </c>
      <c r="F805" s="164">
        <f>D805+E805</f>
        <v>22.08</v>
      </c>
      <c r="G805" s="143"/>
      <c r="H805" s="4"/>
      <c r="I805" s="72"/>
      <c r="J805" s="4"/>
      <c r="K805" s="42"/>
      <c r="L805" s="4"/>
      <c r="M805" s="4"/>
      <c r="N805" s="4"/>
      <c r="O805" s="4"/>
      <c r="Y805" s="153"/>
      <c r="BI805" s="154"/>
      <c r="BJ805" s="20"/>
    </row>
    <row r="806" spans="1:62" s="19" customFormat="1" ht="18.75" customHeight="1" x14ac:dyDescent="0.2">
      <c r="A806" s="288" t="s">
        <v>976</v>
      </c>
      <c r="B806" s="285" t="s">
        <v>977</v>
      </c>
      <c r="C806" s="298" t="s">
        <v>230</v>
      </c>
      <c r="D806" s="15">
        <f>163.02*1.05</f>
        <v>171.17</v>
      </c>
      <c r="E806" s="16">
        <f t="shared" si="83"/>
        <v>34.229999999999997</v>
      </c>
      <c r="F806" s="164">
        <f t="shared" si="84"/>
        <v>205.4</v>
      </c>
      <c r="G806" s="143"/>
      <c r="H806" s="4"/>
      <c r="I806" s="72"/>
      <c r="J806" s="4"/>
      <c r="K806" s="42"/>
      <c r="L806" s="4"/>
      <c r="M806" s="4"/>
      <c r="N806" s="4"/>
      <c r="O806" s="4"/>
      <c r="Y806" s="153"/>
      <c r="BI806" s="154"/>
      <c r="BJ806" s="20"/>
    </row>
    <row r="807" spans="1:62" s="19" customFormat="1" ht="18" customHeight="1" x14ac:dyDescent="0.2">
      <c r="A807" s="178" t="s">
        <v>57</v>
      </c>
      <c r="B807" s="312" t="s">
        <v>978</v>
      </c>
      <c r="C807" s="312"/>
      <c r="D807" s="312"/>
      <c r="E807" s="312"/>
      <c r="F807" s="312"/>
      <c r="G807" s="143"/>
      <c r="H807" s="4"/>
      <c r="I807" s="72"/>
      <c r="J807" s="4"/>
      <c r="K807" s="42"/>
      <c r="L807" s="4"/>
      <c r="M807" s="4"/>
      <c r="N807" s="4"/>
      <c r="O807" s="4"/>
      <c r="Y807" s="153"/>
      <c r="BI807" s="154"/>
      <c r="BJ807" s="20"/>
    </row>
    <row r="808" spans="1:62" s="19" customFormat="1" ht="31.5" customHeight="1" x14ac:dyDescent="0.2">
      <c r="A808" s="288" t="s">
        <v>979</v>
      </c>
      <c r="B808" s="285" t="s">
        <v>980</v>
      </c>
      <c r="C808" s="298" t="s">
        <v>230</v>
      </c>
      <c r="D808" s="15">
        <f>32.56*1.05</f>
        <v>34.19</v>
      </c>
      <c r="E808" s="16">
        <f>D808*20%</f>
        <v>6.84</v>
      </c>
      <c r="F808" s="164">
        <f>D808+E808</f>
        <v>41.03</v>
      </c>
      <c r="G808" s="143"/>
      <c r="H808" s="4"/>
      <c r="I808" s="72"/>
      <c r="J808" s="4"/>
      <c r="K808" s="42"/>
      <c r="L808" s="4"/>
      <c r="M808" s="4"/>
      <c r="N808" s="4"/>
      <c r="O808" s="4"/>
      <c r="Y808" s="153"/>
      <c r="BI808" s="154"/>
      <c r="BJ808" s="20"/>
    </row>
    <row r="809" spans="1:62" s="19" customFormat="1" ht="30" customHeight="1" x14ac:dyDescent="0.2">
      <c r="A809" s="288" t="s">
        <v>981</v>
      </c>
      <c r="B809" s="285" t="s">
        <v>982</v>
      </c>
      <c r="C809" s="298" t="s">
        <v>230</v>
      </c>
      <c r="D809" s="15">
        <f>37.34*1.05</f>
        <v>39.21</v>
      </c>
      <c r="E809" s="16">
        <f>D809*20%</f>
        <v>7.84</v>
      </c>
      <c r="F809" s="164">
        <f>D809+E809</f>
        <v>47.05</v>
      </c>
      <c r="G809" s="143"/>
      <c r="H809" s="4"/>
      <c r="I809" s="72"/>
      <c r="J809" s="4"/>
      <c r="K809" s="42"/>
      <c r="L809" s="4"/>
      <c r="M809" s="4"/>
      <c r="N809" s="4"/>
      <c r="O809" s="4"/>
      <c r="Y809" s="153"/>
      <c r="BI809" s="154"/>
      <c r="BJ809" s="20"/>
    </row>
    <row r="810" spans="1:62" s="19" customFormat="1" ht="33" customHeight="1" x14ac:dyDescent="0.2">
      <c r="A810" s="288" t="s">
        <v>983</v>
      </c>
      <c r="B810" s="285" t="s">
        <v>984</v>
      </c>
      <c r="C810" s="298" t="s">
        <v>230</v>
      </c>
      <c r="D810" s="15">
        <f>115.89*1.05</f>
        <v>121.68</v>
      </c>
      <c r="E810" s="16">
        <f>D810*20%</f>
        <v>24.34</v>
      </c>
      <c r="F810" s="164">
        <f>D810+E810</f>
        <v>146.02000000000001</v>
      </c>
      <c r="G810" s="143"/>
      <c r="H810" s="4"/>
      <c r="I810" s="72"/>
      <c r="J810" s="4"/>
      <c r="K810" s="42"/>
      <c r="L810" s="4"/>
      <c r="M810" s="4"/>
      <c r="N810" s="4"/>
      <c r="O810" s="4"/>
      <c r="Y810" s="153"/>
      <c r="BI810" s="154"/>
      <c r="BJ810" s="20"/>
    </row>
    <row r="811" spans="1:62" s="19" customFormat="1" ht="14.25" customHeight="1" x14ac:dyDescent="0.2">
      <c r="A811" s="178" t="s">
        <v>59</v>
      </c>
      <c r="B811" s="312" t="s">
        <v>985</v>
      </c>
      <c r="C811" s="312"/>
      <c r="D811" s="312"/>
      <c r="E811" s="312"/>
      <c r="F811" s="312"/>
      <c r="G811" s="143"/>
      <c r="H811" s="4"/>
      <c r="I811" s="72"/>
      <c r="J811" s="4"/>
      <c r="K811" s="42"/>
      <c r="L811" s="4"/>
      <c r="M811" s="4"/>
      <c r="N811" s="4"/>
      <c r="O811" s="4"/>
      <c r="Y811" s="153"/>
      <c r="BI811" s="154"/>
      <c r="BJ811" s="20"/>
    </row>
    <row r="812" spans="1:62" s="19" customFormat="1" ht="33" customHeight="1" x14ac:dyDescent="0.2">
      <c r="A812" s="288" t="s">
        <v>986</v>
      </c>
      <c r="B812" s="285" t="s">
        <v>987</v>
      </c>
      <c r="C812" s="277" t="s">
        <v>988</v>
      </c>
      <c r="D812" s="15">
        <f>31.95*1.05</f>
        <v>33.549999999999997</v>
      </c>
      <c r="E812" s="16">
        <f>D812*20%</f>
        <v>6.71</v>
      </c>
      <c r="F812" s="164">
        <f>D812+E812</f>
        <v>40.26</v>
      </c>
      <c r="G812" s="143"/>
      <c r="H812" s="4"/>
      <c r="I812" s="72"/>
      <c r="J812" s="4"/>
      <c r="K812" s="42"/>
      <c r="L812" s="4"/>
      <c r="M812" s="4"/>
      <c r="N812" s="4"/>
      <c r="O812" s="4"/>
      <c r="Y812" s="153"/>
      <c r="BI812" s="154"/>
      <c r="BJ812" s="20"/>
    </row>
    <row r="813" spans="1:62" s="19" customFormat="1" ht="31.5" customHeight="1" x14ac:dyDescent="0.2">
      <c r="A813" s="288" t="s">
        <v>989</v>
      </c>
      <c r="B813" s="285" t="s">
        <v>990</v>
      </c>
      <c r="C813" s="277" t="s">
        <v>991</v>
      </c>
      <c r="D813" s="15">
        <f>19.27*1.05</f>
        <v>20.23</v>
      </c>
      <c r="E813" s="16">
        <f>D813*20%</f>
        <v>4.05</v>
      </c>
      <c r="F813" s="164">
        <f>D813+E813</f>
        <v>24.28</v>
      </c>
      <c r="G813" s="143"/>
      <c r="H813" s="4"/>
      <c r="I813" s="72"/>
      <c r="J813" s="4"/>
      <c r="K813" s="42"/>
      <c r="L813" s="4"/>
      <c r="M813" s="4"/>
      <c r="N813" s="4"/>
      <c r="O813" s="4"/>
      <c r="Y813" s="153"/>
      <c r="BI813" s="154"/>
      <c r="BJ813" s="20"/>
    </row>
    <row r="814" spans="1:62" s="19" customFormat="1" ht="46.5" customHeight="1" x14ac:dyDescent="0.2">
      <c r="A814" s="288" t="s">
        <v>992</v>
      </c>
      <c r="B814" s="285" t="s">
        <v>993</v>
      </c>
      <c r="C814" s="277" t="s">
        <v>991</v>
      </c>
      <c r="D814" s="15">
        <f>52.57*1.05</f>
        <v>55.2</v>
      </c>
      <c r="E814" s="16">
        <f>D814*20%</f>
        <v>11.04</v>
      </c>
      <c r="F814" s="164">
        <f>D814+E814</f>
        <v>66.239999999999995</v>
      </c>
      <c r="G814" s="143"/>
      <c r="H814" s="4"/>
      <c r="I814" s="72"/>
      <c r="J814" s="4"/>
      <c r="K814" s="42"/>
      <c r="L814" s="4"/>
      <c r="M814" s="4"/>
      <c r="N814" s="4"/>
      <c r="O814" s="4"/>
      <c r="Y814" s="153"/>
      <c r="BI814" s="154"/>
      <c r="BJ814" s="20"/>
    </row>
    <row r="815" spans="1:62" s="19" customFormat="1" ht="15.75" customHeight="1" x14ac:dyDescent="0.2">
      <c r="A815" s="278" t="s">
        <v>61</v>
      </c>
      <c r="B815" s="326" t="s">
        <v>994</v>
      </c>
      <c r="C815" s="326"/>
      <c r="D815" s="326"/>
      <c r="E815" s="326"/>
      <c r="F815" s="326"/>
      <c r="G815" s="143"/>
      <c r="H815" s="4"/>
      <c r="I815" s="72"/>
      <c r="J815" s="4"/>
      <c r="K815" s="42"/>
      <c r="L815" s="4"/>
      <c r="M815" s="4"/>
      <c r="N815" s="4"/>
      <c r="O815" s="4"/>
      <c r="Y815" s="153"/>
      <c r="BI815" s="154"/>
      <c r="BJ815" s="20"/>
    </row>
    <row r="816" spans="1:62" s="19" customFormat="1" ht="46.5" customHeight="1" x14ac:dyDescent="0.2">
      <c r="A816" s="278" t="s">
        <v>995</v>
      </c>
      <c r="B816" s="285" t="s">
        <v>996</v>
      </c>
      <c r="C816" s="298" t="s">
        <v>230</v>
      </c>
      <c r="D816" s="15">
        <f>243.69*1.05</f>
        <v>255.87</v>
      </c>
      <c r="E816" s="16">
        <f>D816*20%</f>
        <v>51.17</v>
      </c>
      <c r="F816" s="164">
        <f>D816+E816</f>
        <v>307.04000000000002</v>
      </c>
      <c r="G816" s="143"/>
      <c r="H816" s="4"/>
      <c r="I816" s="72"/>
      <c r="J816" s="4"/>
      <c r="K816" s="42"/>
      <c r="L816" s="4"/>
      <c r="M816" s="4"/>
      <c r="N816" s="4"/>
      <c r="O816" s="4"/>
      <c r="Y816" s="153"/>
      <c r="BI816" s="154"/>
      <c r="BJ816" s="20"/>
    </row>
    <row r="817" spans="1:62" s="19" customFormat="1" ht="46.5" customHeight="1" x14ac:dyDescent="0.2">
      <c r="A817" s="278" t="s">
        <v>997</v>
      </c>
      <c r="B817" s="285" t="s">
        <v>998</v>
      </c>
      <c r="C817" s="298" t="s">
        <v>230</v>
      </c>
      <c r="D817" s="15">
        <f>856.23*1.05</f>
        <v>899.04</v>
      </c>
      <c r="E817" s="16">
        <f>D817*20%</f>
        <v>179.81</v>
      </c>
      <c r="F817" s="164">
        <f>D817+E817</f>
        <v>1078.8499999999999</v>
      </c>
      <c r="G817" s="143"/>
      <c r="H817" s="4"/>
      <c r="I817" s="72"/>
      <c r="J817" s="4"/>
      <c r="K817" s="42"/>
      <c r="L817" s="4"/>
      <c r="M817" s="4"/>
      <c r="N817" s="4"/>
      <c r="O817" s="4"/>
      <c r="Y817" s="153"/>
      <c r="BI817" s="154"/>
      <c r="BJ817" s="20"/>
    </row>
    <row r="818" spans="1:62" s="19" customFormat="1" ht="46.5" customHeight="1" x14ac:dyDescent="0.2">
      <c r="A818" s="278" t="s">
        <v>999</v>
      </c>
      <c r="B818" s="285" t="s">
        <v>1000</v>
      </c>
      <c r="C818" s="298" t="s">
        <v>230</v>
      </c>
      <c r="D818" s="15">
        <f>988*1.05</f>
        <v>1037.4000000000001</v>
      </c>
      <c r="E818" s="16">
        <f>D818*20%</f>
        <v>207.48</v>
      </c>
      <c r="F818" s="164">
        <f>D818+E818</f>
        <v>1244.8800000000001</v>
      </c>
      <c r="G818" s="143"/>
      <c r="H818" s="4"/>
      <c r="I818" s="72"/>
      <c r="J818" s="4"/>
      <c r="K818" s="42"/>
      <c r="L818" s="4"/>
      <c r="M818" s="4"/>
      <c r="N818" s="4"/>
      <c r="O818" s="4"/>
      <c r="Y818" s="153"/>
      <c r="BI818" s="154"/>
      <c r="BJ818" s="20"/>
    </row>
    <row r="819" spans="1:62" s="19" customFormat="1" ht="46.5" customHeight="1" x14ac:dyDescent="0.2">
      <c r="A819" s="182"/>
      <c r="B819" s="183"/>
      <c r="C819" s="182"/>
      <c r="D819" s="182"/>
      <c r="E819" s="184"/>
      <c r="F819" s="182"/>
      <c r="G819" s="143"/>
      <c r="H819" s="4"/>
      <c r="I819" s="72"/>
      <c r="J819" s="4"/>
      <c r="K819" s="42"/>
      <c r="L819" s="4"/>
      <c r="M819" s="4"/>
      <c r="N819" s="4"/>
      <c r="O819" s="4"/>
      <c r="Y819" s="153"/>
      <c r="BI819" s="154"/>
      <c r="BJ819" s="20"/>
    </row>
    <row r="820" spans="1:62" s="19" customFormat="1" ht="46.5" customHeight="1" x14ac:dyDescent="0.2">
      <c r="A820" s="340" t="s">
        <v>1001</v>
      </c>
      <c r="B820" s="340"/>
      <c r="C820" s="340"/>
      <c r="D820" s="340"/>
      <c r="E820" s="340"/>
      <c r="F820" s="340"/>
      <c r="G820" s="143"/>
      <c r="H820" s="4"/>
      <c r="I820" s="72"/>
      <c r="J820" s="4"/>
      <c r="K820" s="42"/>
      <c r="L820" s="4"/>
      <c r="M820" s="4"/>
      <c r="N820" s="4"/>
      <c r="O820" s="4"/>
      <c r="Y820" s="153"/>
      <c r="BI820" s="154"/>
      <c r="BJ820" s="20"/>
    </row>
    <row r="821" spans="1:62" s="19" customFormat="1" ht="19.5" customHeight="1" x14ac:dyDescent="0.2">
      <c r="A821" s="185" t="s">
        <v>1002</v>
      </c>
      <c r="B821" s="330" t="s">
        <v>1003</v>
      </c>
      <c r="C821" s="330"/>
      <c r="D821" s="330"/>
      <c r="E821" s="330"/>
      <c r="F821" s="330"/>
      <c r="G821" s="143"/>
      <c r="H821" s="4"/>
      <c r="I821" s="72"/>
      <c r="J821" s="4"/>
      <c r="K821" s="42"/>
      <c r="L821" s="4"/>
      <c r="M821" s="4"/>
      <c r="N821" s="4"/>
      <c r="O821" s="4"/>
      <c r="Y821" s="153"/>
      <c r="BI821" s="154"/>
      <c r="BJ821" s="20"/>
    </row>
    <row r="822" spans="1:62" s="19" customFormat="1" ht="18.75" customHeight="1" x14ac:dyDescent="0.2">
      <c r="A822" s="186" t="s">
        <v>1004</v>
      </c>
      <c r="B822" s="187" t="s">
        <v>1005</v>
      </c>
      <c r="C822" s="298" t="s">
        <v>230</v>
      </c>
      <c r="D822" s="295">
        <f>521.08*1.05</f>
        <v>547.13</v>
      </c>
      <c r="E822" s="16">
        <f>D822*20%</f>
        <v>109.43</v>
      </c>
      <c r="F822" s="188">
        <f>D822+E822</f>
        <v>656.56</v>
      </c>
      <c r="G822" s="143"/>
      <c r="H822" s="4"/>
      <c r="I822" s="72"/>
      <c r="J822" s="4"/>
      <c r="K822" s="42"/>
      <c r="L822" s="4"/>
      <c r="M822" s="4"/>
      <c r="N822" s="4"/>
      <c r="O822" s="4"/>
      <c r="Y822" s="153"/>
      <c r="BI822" s="154"/>
      <c r="BJ822" s="20"/>
    </row>
    <row r="823" spans="1:62" s="19" customFormat="1" ht="18" customHeight="1" x14ac:dyDescent="0.2">
      <c r="A823" s="185" t="s">
        <v>1006</v>
      </c>
      <c r="B823" s="330" t="s">
        <v>1007</v>
      </c>
      <c r="C823" s="330"/>
      <c r="D823" s="330"/>
      <c r="E823" s="330"/>
      <c r="F823" s="330"/>
      <c r="G823" s="143"/>
      <c r="H823" s="4"/>
      <c r="I823" s="72"/>
      <c r="J823" s="4"/>
      <c r="K823" s="42"/>
      <c r="L823" s="4"/>
      <c r="M823" s="4"/>
      <c r="N823" s="4"/>
      <c r="O823" s="4"/>
      <c r="Y823" s="153"/>
      <c r="BI823" s="154"/>
      <c r="BJ823" s="20"/>
    </row>
    <row r="824" spans="1:62" s="19" customFormat="1" ht="24" customHeight="1" x14ac:dyDescent="0.2">
      <c r="A824" s="186" t="s">
        <v>1008</v>
      </c>
      <c r="B824" s="187" t="s">
        <v>1005</v>
      </c>
      <c r="C824" s="298" t="s">
        <v>230</v>
      </c>
      <c r="D824" s="295">
        <f>483.81*1.05</f>
        <v>508</v>
      </c>
      <c r="E824" s="16">
        <f>D824*20%</f>
        <v>101.6</v>
      </c>
      <c r="F824" s="188">
        <f>D824+E824</f>
        <v>609.6</v>
      </c>
      <c r="G824" s="143"/>
      <c r="H824" s="4"/>
      <c r="I824" s="72"/>
      <c r="J824" s="4"/>
      <c r="K824" s="42"/>
      <c r="L824" s="4"/>
      <c r="M824" s="4"/>
      <c r="N824" s="4"/>
      <c r="O824" s="4"/>
      <c r="Y824" s="153"/>
      <c r="BI824" s="154"/>
      <c r="BJ824" s="20"/>
    </row>
    <row r="825" spans="1:62" s="19" customFormat="1" ht="17.25" customHeight="1" x14ac:dyDescent="0.2">
      <c r="A825" s="186" t="s">
        <v>1009</v>
      </c>
      <c r="B825" s="187" t="s">
        <v>1010</v>
      </c>
      <c r="C825" s="298" t="s">
        <v>230</v>
      </c>
      <c r="D825" s="295">
        <f>1366.73*1.05</f>
        <v>1435.07</v>
      </c>
      <c r="E825" s="16">
        <f>D825*20%</f>
        <v>287.01</v>
      </c>
      <c r="F825" s="188">
        <f>D825+E825</f>
        <v>1722.08</v>
      </c>
      <c r="G825" s="143"/>
      <c r="H825" s="4"/>
      <c r="I825" s="72"/>
      <c r="J825" s="4"/>
      <c r="K825" s="42"/>
      <c r="L825" s="4"/>
      <c r="M825" s="4"/>
      <c r="N825" s="4"/>
      <c r="O825" s="4"/>
      <c r="Y825" s="153"/>
      <c r="BI825" s="154"/>
      <c r="BJ825" s="20"/>
    </row>
    <row r="826" spans="1:62" s="19" customFormat="1" ht="21.75" customHeight="1" x14ac:dyDescent="0.2">
      <c r="A826" s="185" t="s">
        <v>1011</v>
      </c>
      <c r="B826" s="330" t="s">
        <v>1012</v>
      </c>
      <c r="C826" s="330"/>
      <c r="D826" s="330"/>
      <c r="E826" s="330"/>
      <c r="F826" s="330"/>
      <c r="G826" s="143"/>
      <c r="H826" s="4"/>
      <c r="I826" s="72"/>
      <c r="J826" s="4"/>
      <c r="K826" s="42"/>
      <c r="L826" s="4"/>
      <c r="M826" s="4"/>
      <c r="N826" s="4"/>
      <c r="O826" s="4"/>
      <c r="Y826" s="153"/>
      <c r="BI826" s="154"/>
      <c r="BJ826" s="20"/>
    </row>
    <row r="827" spans="1:62" s="19" customFormat="1" ht="18.75" customHeight="1" x14ac:dyDescent="0.2">
      <c r="A827" s="186" t="s">
        <v>1013</v>
      </c>
      <c r="B827" s="187" t="s">
        <v>1005</v>
      </c>
      <c r="C827" s="298" t="s">
        <v>230</v>
      </c>
      <c r="D827" s="295">
        <f>576.87*1.05</f>
        <v>605.71</v>
      </c>
      <c r="E827" s="16">
        <f>D827*20%</f>
        <v>121.14</v>
      </c>
      <c r="F827" s="188">
        <f>D827+E827</f>
        <v>726.85</v>
      </c>
      <c r="G827" s="143"/>
      <c r="H827" s="4"/>
      <c r="I827" s="72"/>
      <c r="J827" s="4"/>
      <c r="K827" s="42"/>
      <c r="L827" s="4"/>
      <c r="M827" s="4"/>
      <c r="N827" s="4"/>
      <c r="O827" s="4"/>
      <c r="Y827" s="153"/>
      <c r="BI827" s="154"/>
      <c r="BJ827" s="20"/>
    </row>
    <row r="828" spans="1:62" s="19" customFormat="1" ht="18" customHeight="1" x14ac:dyDescent="0.2">
      <c r="A828" s="186" t="s">
        <v>1014</v>
      </c>
      <c r="B828" s="187" t="s">
        <v>1010</v>
      </c>
      <c r="C828" s="298" t="s">
        <v>230</v>
      </c>
      <c r="D828" s="295">
        <f>1351.38*1.05</f>
        <v>1418.95</v>
      </c>
      <c r="E828" s="16">
        <f>D828*20%</f>
        <v>283.79000000000002</v>
      </c>
      <c r="F828" s="188">
        <f>D828+E828</f>
        <v>1702.74</v>
      </c>
      <c r="G828" s="143"/>
      <c r="H828" s="4"/>
      <c r="I828" s="72"/>
      <c r="J828" s="4"/>
      <c r="K828" s="42"/>
      <c r="L828" s="4"/>
      <c r="M828" s="4"/>
      <c r="N828" s="4"/>
      <c r="O828" s="4"/>
      <c r="Y828" s="153"/>
      <c r="BI828" s="154"/>
      <c r="BJ828" s="20"/>
    </row>
    <row r="829" spans="1:62" s="19" customFormat="1" ht="21.75" customHeight="1" x14ac:dyDescent="0.2">
      <c r="A829" s="185" t="s">
        <v>1015</v>
      </c>
      <c r="B829" s="322" t="s">
        <v>1016</v>
      </c>
      <c r="C829" s="322"/>
      <c r="D829" s="322"/>
      <c r="E829" s="322"/>
      <c r="F829" s="322"/>
      <c r="G829" s="143"/>
      <c r="H829" s="4"/>
      <c r="I829" s="72"/>
      <c r="J829" s="4"/>
      <c r="K829" s="42"/>
      <c r="L829" s="4"/>
      <c r="M829" s="4"/>
      <c r="N829" s="4"/>
      <c r="O829" s="4"/>
      <c r="Y829" s="153"/>
      <c r="BI829" s="154"/>
      <c r="BJ829" s="20"/>
    </row>
    <row r="830" spans="1:62" s="19" customFormat="1" ht="17.25" customHeight="1" x14ac:dyDescent="0.2">
      <c r="A830" s="186" t="s">
        <v>1017</v>
      </c>
      <c r="B830" s="187" t="s">
        <v>1005</v>
      </c>
      <c r="C830" s="298" t="s">
        <v>230</v>
      </c>
      <c r="D830" s="295">
        <f>658.66*1.05</f>
        <v>691.59</v>
      </c>
      <c r="E830" s="16">
        <f>D830*20%</f>
        <v>138.32</v>
      </c>
      <c r="F830" s="188">
        <f>D830+E830</f>
        <v>829.91</v>
      </c>
      <c r="G830" s="143"/>
      <c r="H830" s="4"/>
      <c r="I830" s="72"/>
      <c r="J830" s="4"/>
      <c r="K830" s="42"/>
      <c r="L830" s="4"/>
      <c r="M830" s="4"/>
      <c r="N830" s="4"/>
      <c r="O830" s="4"/>
      <c r="Y830" s="153"/>
      <c r="BI830" s="154"/>
      <c r="BJ830" s="20"/>
    </row>
    <row r="831" spans="1:62" s="19" customFormat="1" ht="19.5" customHeight="1" x14ac:dyDescent="0.2">
      <c r="A831" s="186" t="s">
        <v>1018</v>
      </c>
      <c r="B831" s="187" t="s">
        <v>1010</v>
      </c>
      <c r="C831" s="298" t="s">
        <v>230</v>
      </c>
      <c r="D831" s="295">
        <f>1372.18*1.05</f>
        <v>1440.79</v>
      </c>
      <c r="E831" s="16">
        <f>D831*20%</f>
        <v>288.16000000000003</v>
      </c>
      <c r="F831" s="188">
        <f>D831+E831</f>
        <v>1728.95</v>
      </c>
      <c r="G831" s="143"/>
      <c r="H831" s="4"/>
      <c r="I831" s="72"/>
      <c r="J831" s="4"/>
      <c r="K831" s="42"/>
      <c r="L831" s="4"/>
      <c r="M831" s="4"/>
      <c r="N831" s="4"/>
      <c r="O831" s="4"/>
      <c r="Y831" s="153"/>
      <c r="BI831" s="154"/>
      <c r="BJ831" s="20"/>
    </row>
    <row r="832" spans="1:62" s="19" customFormat="1" ht="15" customHeight="1" x14ac:dyDescent="0.2">
      <c r="A832" s="185" t="s">
        <v>1019</v>
      </c>
      <c r="B832" s="322" t="s">
        <v>1020</v>
      </c>
      <c r="C832" s="322"/>
      <c r="D832" s="322"/>
      <c r="E832" s="322"/>
      <c r="F832" s="322"/>
      <c r="G832" s="143"/>
      <c r="H832" s="4"/>
      <c r="I832" s="72"/>
      <c r="J832" s="4"/>
      <c r="K832" s="42"/>
      <c r="L832" s="4"/>
      <c r="M832" s="4"/>
      <c r="N832" s="4"/>
      <c r="O832" s="4"/>
      <c r="Y832" s="153"/>
      <c r="BI832" s="154"/>
      <c r="BJ832" s="20"/>
    </row>
    <row r="833" spans="1:62" s="19" customFormat="1" ht="18.75" customHeight="1" x14ac:dyDescent="0.2">
      <c r="A833" s="186" t="s">
        <v>1021</v>
      </c>
      <c r="B833" s="300" t="s">
        <v>1010</v>
      </c>
      <c r="C833" s="298" t="s">
        <v>230</v>
      </c>
      <c r="D833" s="295">
        <f>1155.56*1.05</f>
        <v>1213.3399999999999</v>
      </c>
      <c r="E833" s="16">
        <f>D833*20%</f>
        <v>242.67</v>
      </c>
      <c r="F833" s="188">
        <f>D833+E833</f>
        <v>1456.01</v>
      </c>
      <c r="G833" s="143"/>
      <c r="H833" s="4"/>
      <c r="I833" s="72"/>
      <c r="J833" s="4"/>
      <c r="K833" s="42"/>
      <c r="L833" s="4"/>
      <c r="M833" s="4"/>
      <c r="N833" s="4"/>
      <c r="O833" s="4"/>
      <c r="Y833" s="153"/>
      <c r="BI833" s="154"/>
      <c r="BJ833" s="20"/>
    </row>
    <row r="834" spans="1:62" s="19" customFormat="1" ht="15.75" customHeight="1" x14ac:dyDescent="0.2">
      <c r="A834" s="185" t="s">
        <v>1022</v>
      </c>
      <c r="B834" s="322" t="s">
        <v>1023</v>
      </c>
      <c r="C834" s="322"/>
      <c r="D834" s="322"/>
      <c r="E834" s="322"/>
      <c r="F834" s="322"/>
      <c r="G834" s="143"/>
      <c r="H834" s="4"/>
      <c r="I834" s="72"/>
      <c r="J834" s="4"/>
      <c r="K834" s="42"/>
      <c r="L834" s="4"/>
      <c r="M834" s="4"/>
      <c r="N834" s="4"/>
      <c r="O834" s="4"/>
      <c r="Y834" s="153"/>
      <c r="BI834" s="154"/>
      <c r="BJ834" s="20"/>
    </row>
    <row r="835" spans="1:62" s="19" customFormat="1" ht="21" customHeight="1" x14ac:dyDescent="0.2">
      <c r="A835" s="186" t="s">
        <v>1024</v>
      </c>
      <c r="B835" s="187" t="s">
        <v>1005</v>
      </c>
      <c r="C835" s="298" t="s">
        <v>230</v>
      </c>
      <c r="D835" s="295">
        <f>476.88*1.05</f>
        <v>500.72</v>
      </c>
      <c r="E835" s="16">
        <f>D835*20%</f>
        <v>100.14</v>
      </c>
      <c r="F835" s="188">
        <f>D835+E835</f>
        <v>600.86</v>
      </c>
      <c r="G835" s="143"/>
      <c r="H835" s="4"/>
      <c r="I835" s="72"/>
      <c r="J835" s="4"/>
      <c r="K835" s="42"/>
      <c r="L835" s="4"/>
      <c r="M835" s="4"/>
      <c r="N835" s="4"/>
      <c r="O835" s="4"/>
      <c r="Y835" s="153"/>
      <c r="BI835" s="154"/>
      <c r="BJ835" s="20"/>
    </row>
    <row r="836" spans="1:62" s="19" customFormat="1" ht="15.75" customHeight="1" x14ac:dyDescent="0.2">
      <c r="A836" s="186" t="s">
        <v>1025</v>
      </c>
      <c r="B836" s="187" t="s">
        <v>1010</v>
      </c>
      <c r="C836" s="298" t="s">
        <v>230</v>
      </c>
      <c r="D836" s="295">
        <f>1693.81*1.05</f>
        <v>1778.5</v>
      </c>
      <c r="E836" s="16">
        <f>D836*20%</f>
        <v>355.7</v>
      </c>
      <c r="F836" s="188">
        <f>D836+E836</f>
        <v>2134.1999999999998</v>
      </c>
      <c r="G836" s="143"/>
      <c r="H836" s="4"/>
      <c r="I836" s="72"/>
      <c r="J836" s="4"/>
      <c r="K836" s="42"/>
      <c r="L836" s="4"/>
      <c r="M836" s="4"/>
      <c r="N836" s="4"/>
      <c r="O836" s="4"/>
      <c r="Y836" s="153"/>
      <c r="BI836" s="154"/>
      <c r="BJ836" s="20"/>
    </row>
    <row r="837" spans="1:62" s="19" customFormat="1" ht="16.5" customHeight="1" x14ac:dyDescent="0.2">
      <c r="A837" s="185" t="s">
        <v>1026</v>
      </c>
      <c r="B837" s="322" t="s">
        <v>1027</v>
      </c>
      <c r="C837" s="322"/>
      <c r="D837" s="322"/>
      <c r="E837" s="322"/>
      <c r="F837" s="322"/>
      <c r="G837" s="143"/>
      <c r="H837" s="4"/>
      <c r="I837" s="72"/>
      <c r="J837" s="4"/>
      <c r="K837" s="42"/>
      <c r="L837" s="4"/>
      <c r="M837" s="4"/>
      <c r="N837" s="4"/>
      <c r="O837" s="4"/>
      <c r="Y837" s="153"/>
      <c r="BI837" s="154"/>
      <c r="BJ837" s="20"/>
    </row>
    <row r="838" spans="1:62" s="19" customFormat="1" ht="18.75" customHeight="1" x14ac:dyDescent="0.2">
      <c r="A838" s="186" t="s">
        <v>1028</v>
      </c>
      <c r="B838" s="187" t="s">
        <v>1010</v>
      </c>
      <c r="C838" s="298" t="s">
        <v>230</v>
      </c>
      <c r="D838" s="295">
        <f>672.07*1.05</f>
        <v>705.67</v>
      </c>
      <c r="E838" s="16">
        <f>D838*20%</f>
        <v>141.13</v>
      </c>
      <c r="F838" s="188">
        <f>D838+E838</f>
        <v>846.8</v>
      </c>
      <c r="G838" s="143"/>
      <c r="H838" s="4"/>
      <c r="I838" s="72"/>
      <c r="J838" s="4"/>
      <c r="K838" s="42"/>
      <c r="L838" s="4"/>
      <c r="M838" s="4"/>
      <c r="N838" s="4"/>
      <c r="O838" s="4"/>
      <c r="Y838" s="153"/>
      <c r="BI838" s="154"/>
      <c r="BJ838" s="20"/>
    </row>
    <row r="839" spans="1:62" s="19" customFormat="1" ht="18" customHeight="1" x14ac:dyDescent="0.2">
      <c r="A839" s="185" t="s">
        <v>1029</v>
      </c>
      <c r="B839" s="322" t="s">
        <v>1030</v>
      </c>
      <c r="C839" s="322"/>
      <c r="D839" s="322"/>
      <c r="E839" s="322"/>
      <c r="F839" s="322"/>
      <c r="G839" s="143"/>
      <c r="H839" s="4"/>
      <c r="I839" s="72"/>
      <c r="J839" s="4"/>
      <c r="K839" s="42"/>
      <c r="L839" s="4"/>
      <c r="M839" s="4"/>
      <c r="N839" s="4"/>
      <c r="O839" s="4"/>
      <c r="Y839" s="153"/>
      <c r="BI839" s="154"/>
      <c r="BJ839" s="20"/>
    </row>
    <row r="840" spans="1:62" s="19" customFormat="1" ht="36" customHeight="1" x14ac:dyDescent="0.2">
      <c r="A840" s="186" t="s">
        <v>1031</v>
      </c>
      <c r="B840" s="300" t="s">
        <v>1032</v>
      </c>
      <c r="C840" s="298" t="s">
        <v>230</v>
      </c>
      <c r="D840" s="295">
        <f>176.27*1.05</f>
        <v>185.08</v>
      </c>
      <c r="E840" s="16">
        <f>D840*20%</f>
        <v>37.020000000000003</v>
      </c>
      <c r="F840" s="188">
        <f>D840+E840</f>
        <v>222.1</v>
      </c>
      <c r="G840" s="143"/>
      <c r="H840" s="4"/>
      <c r="I840" s="72"/>
      <c r="J840" s="4"/>
      <c r="K840" s="42"/>
      <c r="L840" s="4"/>
      <c r="M840" s="4"/>
      <c r="N840" s="4"/>
      <c r="O840" s="4"/>
      <c r="Y840" s="153"/>
      <c r="BI840" s="154"/>
      <c r="BJ840" s="20"/>
    </row>
    <row r="841" spans="1:62" s="19" customFormat="1" ht="21" customHeight="1" x14ac:dyDescent="0.2">
      <c r="A841" s="186" t="s">
        <v>1033</v>
      </c>
      <c r="B841" s="300" t="s">
        <v>1034</v>
      </c>
      <c r="C841" s="298" t="s">
        <v>230</v>
      </c>
      <c r="D841" s="295">
        <f>2038.38*1.05</f>
        <v>2140.3000000000002</v>
      </c>
      <c r="E841" s="16">
        <f>D841*20%</f>
        <v>428.06</v>
      </c>
      <c r="F841" s="188">
        <f>D841+E841</f>
        <v>2568.36</v>
      </c>
      <c r="G841" s="143"/>
      <c r="H841" s="4"/>
      <c r="I841" s="72"/>
      <c r="J841" s="4"/>
      <c r="K841" s="42"/>
      <c r="L841" s="4"/>
      <c r="M841" s="4"/>
      <c r="N841" s="4"/>
      <c r="O841" s="4"/>
      <c r="Y841" s="153"/>
      <c r="BI841" s="154"/>
      <c r="BJ841" s="20"/>
    </row>
    <row r="842" spans="1:62" s="19" customFormat="1" ht="20.25" customHeight="1" x14ac:dyDescent="0.2">
      <c r="A842" s="185" t="s">
        <v>1035</v>
      </c>
      <c r="B842" s="322" t="s">
        <v>1036</v>
      </c>
      <c r="C842" s="322"/>
      <c r="D842" s="322"/>
      <c r="E842" s="322"/>
      <c r="F842" s="322"/>
      <c r="G842" s="143"/>
      <c r="H842" s="4"/>
      <c r="I842" s="72"/>
      <c r="J842" s="4"/>
      <c r="K842" s="42"/>
      <c r="L842" s="4"/>
      <c r="M842" s="4"/>
      <c r="N842" s="4"/>
      <c r="O842" s="4"/>
      <c r="Y842" s="153"/>
      <c r="BI842" s="154"/>
      <c r="BJ842" s="20"/>
    </row>
    <row r="843" spans="1:62" s="19" customFormat="1" ht="15" customHeight="1" x14ac:dyDescent="0.2">
      <c r="A843" s="186" t="s">
        <v>1037</v>
      </c>
      <c r="B843" s="187" t="s">
        <v>1010</v>
      </c>
      <c r="C843" s="298" t="s">
        <v>230</v>
      </c>
      <c r="D843" s="295">
        <f>1333.2*1.05</f>
        <v>1399.86</v>
      </c>
      <c r="E843" s="16">
        <f>D843*20%</f>
        <v>279.97000000000003</v>
      </c>
      <c r="F843" s="188">
        <f>D843+E843</f>
        <v>1679.83</v>
      </c>
      <c r="G843" s="143"/>
      <c r="H843" s="4"/>
      <c r="I843" s="72"/>
      <c r="J843" s="4"/>
      <c r="K843" s="42"/>
      <c r="L843" s="4"/>
      <c r="M843" s="4"/>
      <c r="N843" s="4"/>
      <c r="O843" s="4"/>
      <c r="Y843" s="153"/>
      <c r="BI843" s="154"/>
      <c r="BJ843" s="20"/>
    </row>
    <row r="844" spans="1:62" s="19" customFormat="1" ht="22.5" customHeight="1" x14ac:dyDescent="0.2">
      <c r="A844" s="186" t="s">
        <v>1038</v>
      </c>
      <c r="B844" s="187" t="s">
        <v>1005</v>
      </c>
      <c r="C844" s="298" t="s">
        <v>230</v>
      </c>
      <c r="D844" s="295">
        <f>738.93*1.05</f>
        <v>775.88</v>
      </c>
      <c r="E844" s="16">
        <f>D844*20%</f>
        <v>155.18</v>
      </c>
      <c r="F844" s="188">
        <f>D844+E844</f>
        <v>931.06</v>
      </c>
      <c r="G844" s="143"/>
      <c r="H844" s="4"/>
      <c r="I844" s="72"/>
      <c r="J844" s="4"/>
      <c r="K844" s="42"/>
      <c r="L844" s="4"/>
      <c r="M844" s="4"/>
      <c r="N844" s="4"/>
      <c r="O844" s="4"/>
      <c r="Y844" s="153"/>
      <c r="AK844" s="19" t="s">
        <v>1039</v>
      </c>
      <c r="BI844" s="154"/>
      <c r="BJ844" s="20"/>
    </row>
    <row r="845" spans="1:62" s="19" customFormat="1" ht="16.5" customHeight="1" x14ac:dyDescent="0.2">
      <c r="A845" s="185" t="s">
        <v>1040</v>
      </c>
      <c r="B845" s="330" t="s">
        <v>1041</v>
      </c>
      <c r="C845" s="330"/>
      <c r="D845" s="330"/>
      <c r="E845" s="330"/>
      <c r="F845" s="330"/>
      <c r="G845" s="143"/>
      <c r="H845" s="4"/>
      <c r="I845" s="72"/>
      <c r="J845" s="4"/>
      <c r="K845" s="42"/>
      <c r="L845" s="4"/>
      <c r="M845" s="4"/>
      <c r="N845" s="4"/>
      <c r="O845" s="4"/>
      <c r="Y845" s="153"/>
      <c r="BI845" s="154"/>
      <c r="BJ845" s="20"/>
    </row>
    <row r="846" spans="1:62" s="19" customFormat="1" ht="21.75" customHeight="1" x14ac:dyDescent="0.2">
      <c r="A846" s="186" t="s">
        <v>1042</v>
      </c>
      <c r="B846" s="187" t="s">
        <v>1010</v>
      </c>
      <c r="C846" s="298" t="s">
        <v>230</v>
      </c>
      <c r="D846" s="295">
        <f>1545.11*1.05</f>
        <v>1622.37</v>
      </c>
      <c r="E846" s="16">
        <f>D846*20%</f>
        <v>324.47000000000003</v>
      </c>
      <c r="F846" s="188">
        <f>D846+E846</f>
        <v>1946.84</v>
      </c>
      <c r="G846" s="143"/>
      <c r="H846" s="4"/>
      <c r="I846" s="72"/>
      <c r="J846" s="4"/>
      <c r="K846" s="42"/>
      <c r="L846" s="4"/>
      <c r="M846" s="4"/>
      <c r="N846" s="4"/>
      <c r="O846" s="4"/>
      <c r="Y846" s="153"/>
      <c r="BI846" s="154"/>
      <c r="BJ846" s="20"/>
    </row>
    <row r="847" spans="1:62" s="19" customFormat="1" ht="17.25" customHeight="1" x14ac:dyDescent="0.2">
      <c r="A847" s="185" t="s">
        <v>1043</v>
      </c>
      <c r="B847" s="330" t="s">
        <v>1044</v>
      </c>
      <c r="C847" s="330"/>
      <c r="D847" s="330"/>
      <c r="E847" s="330"/>
      <c r="F847" s="330"/>
      <c r="G847" s="143"/>
      <c r="H847" s="4"/>
      <c r="I847" s="72"/>
      <c r="J847" s="4"/>
      <c r="K847" s="42"/>
      <c r="L847" s="4"/>
      <c r="M847" s="4"/>
      <c r="N847" s="4"/>
      <c r="O847" s="4"/>
      <c r="Y847" s="153"/>
      <c r="BI847" s="154"/>
      <c r="BJ847" s="20"/>
    </row>
    <row r="848" spans="1:62" s="19" customFormat="1" ht="18.75" customHeight="1" x14ac:dyDescent="0.2">
      <c r="A848" s="186" t="s">
        <v>1045</v>
      </c>
      <c r="B848" s="187" t="s">
        <v>1010</v>
      </c>
      <c r="C848" s="298" t="s">
        <v>230</v>
      </c>
      <c r="D848" s="295">
        <f>1484.11*1.05</f>
        <v>1558.32</v>
      </c>
      <c r="E848" s="16">
        <f>D848*20%</f>
        <v>311.66000000000003</v>
      </c>
      <c r="F848" s="188">
        <f>D848+E848</f>
        <v>1869.98</v>
      </c>
      <c r="G848" s="143"/>
      <c r="H848" s="4"/>
      <c r="I848" s="72"/>
      <c r="J848" s="4"/>
      <c r="K848" s="42"/>
      <c r="L848" s="4"/>
      <c r="M848" s="4"/>
      <c r="N848" s="4"/>
      <c r="O848" s="4"/>
      <c r="Y848" s="153"/>
      <c r="BI848" s="154"/>
      <c r="BJ848" s="20"/>
    </row>
    <row r="849" spans="1:256" s="19" customFormat="1" ht="17.25" customHeight="1" x14ac:dyDescent="0.2">
      <c r="A849" s="185" t="s">
        <v>1046</v>
      </c>
      <c r="B849" s="330" t="s">
        <v>1047</v>
      </c>
      <c r="C849" s="330"/>
      <c r="D849" s="330"/>
      <c r="E849" s="330"/>
      <c r="F849" s="330"/>
      <c r="G849" s="143"/>
      <c r="H849" s="4"/>
      <c r="I849" s="72"/>
      <c r="J849" s="4"/>
      <c r="K849" s="42"/>
      <c r="L849" s="4"/>
      <c r="M849" s="4"/>
      <c r="N849" s="4"/>
      <c r="O849" s="4"/>
      <c r="Y849" s="153"/>
      <c r="BI849" s="154"/>
      <c r="BJ849" s="20"/>
    </row>
    <row r="850" spans="1:256" s="19" customFormat="1" ht="25.5" customHeight="1" x14ac:dyDescent="0.2">
      <c r="A850" s="186" t="s">
        <v>1048</v>
      </c>
      <c r="B850" s="300" t="s">
        <v>1049</v>
      </c>
      <c r="C850" s="298" t="s">
        <v>230</v>
      </c>
      <c r="D850" s="295">
        <f>507.36*1.05</f>
        <v>532.73</v>
      </c>
      <c r="E850" s="16">
        <f>D850*20%</f>
        <v>106.55</v>
      </c>
      <c r="F850" s="188">
        <f>D850+E850</f>
        <v>639.28</v>
      </c>
      <c r="G850" s="143"/>
      <c r="H850" s="4"/>
      <c r="I850" s="72"/>
      <c r="J850" s="4"/>
      <c r="K850" s="42"/>
      <c r="L850" s="4"/>
      <c r="M850" s="4"/>
      <c r="N850" s="4"/>
      <c r="O850" s="4"/>
      <c r="Y850" s="153"/>
      <c r="AK850" s="19" t="s">
        <v>1050</v>
      </c>
      <c r="BI850" s="154"/>
      <c r="BJ850" s="20"/>
    </row>
    <row r="851" spans="1:256" s="19" customFormat="1" ht="16.5" customHeight="1" x14ac:dyDescent="0.2">
      <c r="A851" s="185" t="s">
        <v>1051</v>
      </c>
      <c r="B851" s="330" t="s">
        <v>1052</v>
      </c>
      <c r="C851" s="330"/>
      <c r="D851" s="330"/>
      <c r="E851" s="330"/>
      <c r="F851" s="330"/>
      <c r="G851" s="143"/>
      <c r="H851" s="4"/>
      <c r="I851" s="72"/>
      <c r="J851" s="4"/>
      <c r="K851" s="42"/>
      <c r="L851" s="4"/>
      <c r="M851" s="4"/>
      <c r="N851" s="4"/>
      <c r="O851" s="4"/>
      <c r="Y851" s="153"/>
      <c r="BI851" s="154"/>
      <c r="BJ851" s="20"/>
    </row>
    <row r="852" spans="1:256" s="19" customFormat="1" ht="18.75" customHeight="1" x14ac:dyDescent="0.2">
      <c r="A852" s="186" t="s">
        <v>1053</v>
      </c>
      <c r="B852" s="300" t="s">
        <v>1049</v>
      </c>
      <c r="C852" s="298" t="s">
        <v>230</v>
      </c>
      <c r="D852" s="295">
        <f>390.33*1.05</f>
        <v>409.85</v>
      </c>
      <c r="E852" s="16">
        <f>D852*20%</f>
        <v>81.97</v>
      </c>
      <c r="F852" s="188">
        <f>D852+E852</f>
        <v>491.82</v>
      </c>
      <c r="G852" s="143"/>
      <c r="H852" s="4"/>
      <c r="I852" s="72"/>
      <c r="J852" s="4"/>
      <c r="K852" s="42"/>
      <c r="L852" s="4"/>
      <c r="M852" s="4"/>
      <c r="N852" s="4"/>
      <c r="O852" s="4"/>
      <c r="Y852" s="153"/>
      <c r="BI852" s="154"/>
      <c r="BJ852" s="20"/>
    </row>
    <row r="853" spans="1:256" s="19" customFormat="1" ht="18" customHeight="1" x14ac:dyDescent="0.2">
      <c r="A853" s="185" t="s">
        <v>1054</v>
      </c>
      <c r="B853" s="330" t="s">
        <v>1055</v>
      </c>
      <c r="C853" s="330"/>
      <c r="D853" s="330"/>
      <c r="E853" s="330"/>
      <c r="F853" s="330"/>
      <c r="G853" s="143"/>
      <c r="H853" s="4"/>
      <c r="I853" s="72"/>
      <c r="J853" s="4"/>
      <c r="K853" s="42"/>
      <c r="L853" s="4"/>
      <c r="M853" s="4"/>
      <c r="N853" s="4"/>
      <c r="O853" s="4"/>
      <c r="Y853" s="153"/>
      <c r="BI853" s="154"/>
      <c r="BJ853" s="20"/>
    </row>
    <row r="854" spans="1:256" s="19" customFormat="1" ht="22.5" customHeight="1" x14ac:dyDescent="0.2">
      <c r="A854" s="185" t="s">
        <v>1056</v>
      </c>
      <c r="B854" s="300" t="s">
        <v>1049</v>
      </c>
      <c r="C854" s="298" t="s">
        <v>230</v>
      </c>
      <c r="D854" s="295">
        <f>390.33*1.05</f>
        <v>409.85</v>
      </c>
      <c r="E854" s="16">
        <f t="shared" ref="E854:E861" si="85">D854*20%</f>
        <v>81.97</v>
      </c>
      <c r="F854" s="188">
        <f t="shared" ref="F854:F859" si="86">D854+E854</f>
        <v>491.82</v>
      </c>
      <c r="G854" s="143"/>
      <c r="H854" s="4"/>
      <c r="I854" s="72"/>
      <c r="J854" s="4"/>
      <c r="K854" s="42"/>
      <c r="L854" s="4"/>
      <c r="M854" s="4"/>
      <c r="N854" s="4"/>
      <c r="O854" s="4"/>
      <c r="Y854" s="153"/>
      <c r="BI854" s="154"/>
      <c r="BJ854" s="20"/>
    </row>
    <row r="855" spans="1:256" s="19" customFormat="1" ht="18.75" customHeight="1" x14ac:dyDescent="0.2">
      <c r="A855" s="185" t="s">
        <v>1057</v>
      </c>
      <c r="B855" s="300" t="s">
        <v>1058</v>
      </c>
      <c r="C855" s="298" t="s">
        <v>230</v>
      </c>
      <c r="D855" s="310">
        <f>1343.82*1.05</f>
        <v>1411.01</v>
      </c>
      <c r="E855" s="16">
        <f t="shared" si="85"/>
        <v>282.2</v>
      </c>
      <c r="F855" s="188">
        <f t="shared" si="86"/>
        <v>1693.21</v>
      </c>
      <c r="G855" s="143"/>
      <c r="H855" s="4"/>
      <c r="I855" s="72"/>
      <c r="J855" s="4"/>
      <c r="K855" s="42"/>
      <c r="L855" s="4"/>
      <c r="M855" s="4"/>
      <c r="N855" s="4"/>
      <c r="O855" s="4"/>
      <c r="Y855" s="153"/>
      <c r="BI855" s="154"/>
      <c r="BJ855" s="20"/>
    </row>
    <row r="856" spans="1:256" s="19" customFormat="1" ht="18.75" customHeight="1" x14ac:dyDescent="0.2">
      <c r="A856" s="185" t="s">
        <v>1059</v>
      </c>
      <c r="B856" s="300" t="s">
        <v>1060</v>
      </c>
      <c r="C856" s="298" t="s">
        <v>230</v>
      </c>
      <c r="D856" s="295">
        <f>1089.15*1.05</f>
        <v>1143.6099999999999</v>
      </c>
      <c r="E856" s="16">
        <f t="shared" si="85"/>
        <v>228.72</v>
      </c>
      <c r="F856" s="188">
        <f t="shared" si="86"/>
        <v>1372.33</v>
      </c>
      <c r="G856" s="143"/>
      <c r="H856" s="4"/>
      <c r="I856" s="72"/>
      <c r="J856" s="4"/>
      <c r="K856" s="42"/>
      <c r="L856" s="4"/>
      <c r="M856" s="4"/>
      <c r="N856" s="4"/>
      <c r="O856" s="4"/>
      <c r="Y856" s="153"/>
      <c r="BI856" s="154"/>
      <c r="BJ856" s="20"/>
    </row>
    <row r="857" spans="1:256" s="19" customFormat="1" ht="18" customHeight="1" x14ac:dyDescent="0.2">
      <c r="A857" s="185" t="s">
        <v>1061</v>
      </c>
      <c r="B857" s="300" t="s">
        <v>1062</v>
      </c>
      <c r="C857" s="298" t="s">
        <v>230</v>
      </c>
      <c r="D857" s="295">
        <f>1105.23*1.05</f>
        <v>1160.49</v>
      </c>
      <c r="E857" s="16">
        <f t="shared" si="85"/>
        <v>232.1</v>
      </c>
      <c r="F857" s="188">
        <f t="shared" si="86"/>
        <v>1392.59</v>
      </c>
      <c r="G857" s="143"/>
      <c r="H857" s="4"/>
      <c r="I857" s="72"/>
      <c r="J857" s="4"/>
      <c r="K857" s="42"/>
      <c r="L857" s="4"/>
      <c r="M857" s="4"/>
      <c r="N857" s="4"/>
      <c r="O857" s="4"/>
      <c r="Y857" s="153"/>
      <c r="BI857" s="154"/>
      <c r="BJ857" s="20"/>
    </row>
    <row r="858" spans="1:256" s="19" customFormat="1" ht="15.75" customHeight="1" x14ac:dyDescent="0.2">
      <c r="A858" s="185" t="s">
        <v>1063</v>
      </c>
      <c r="B858" s="300" t="s">
        <v>1064</v>
      </c>
      <c r="C858" s="298" t="s">
        <v>230</v>
      </c>
      <c r="D858" s="295">
        <f>753.38*1.05</f>
        <v>791.05</v>
      </c>
      <c r="E858" s="16">
        <f t="shared" si="85"/>
        <v>158.21</v>
      </c>
      <c r="F858" s="188">
        <f t="shared" si="86"/>
        <v>949.26</v>
      </c>
      <c r="G858" s="143"/>
      <c r="H858" s="4"/>
      <c r="I858" s="72"/>
      <c r="J858" s="4"/>
      <c r="K858" s="42"/>
      <c r="L858" s="4"/>
      <c r="M858" s="4"/>
      <c r="N858" s="4"/>
      <c r="O858" s="4"/>
      <c r="Y858" s="153"/>
      <c r="BI858" s="154"/>
      <c r="BJ858" s="20"/>
    </row>
    <row r="859" spans="1:256" s="19" customFormat="1" ht="15" customHeight="1" x14ac:dyDescent="0.2">
      <c r="A859" s="185" t="s">
        <v>1065</v>
      </c>
      <c r="B859" s="300" t="s">
        <v>1066</v>
      </c>
      <c r="C859" s="298" t="s">
        <v>230</v>
      </c>
      <c r="D859" s="295">
        <f>422.86*1.05</f>
        <v>444</v>
      </c>
      <c r="E859" s="16">
        <f t="shared" si="85"/>
        <v>88.8</v>
      </c>
      <c r="F859" s="188">
        <f t="shared" si="86"/>
        <v>532.79999999999995</v>
      </c>
      <c r="G859" s="143"/>
      <c r="H859" s="4"/>
      <c r="I859" s="72"/>
      <c r="J859" s="4"/>
      <c r="K859" s="42"/>
      <c r="L859" s="4"/>
      <c r="M859" s="4"/>
      <c r="N859" s="4"/>
      <c r="O859" s="4"/>
      <c r="Y859" s="153"/>
      <c r="BI859" s="154"/>
      <c r="BJ859" s="20"/>
    </row>
    <row r="860" spans="1:256" s="19" customFormat="1" ht="20.25" customHeight="1" x14ac:dyDescent="0.2">
      <c r="A860" s="185" t="s">
        <v>1067</v>
      </c>
      <c r="B860" s="300" t="s">
        <v>1068</v>
      </c>
      <c r="C860" s="298" t="s">
        <v>230</v>
      </c>
      <c r="D860" s="295">
        <f>1854.04*1.05</f>
        <v>1946.74</v>
      </c>
      <c r="E860" s="16">
        <f t="shared" si="85"/>
        <v>389.35</v>
      </c>
      <c r="F860" s="188">
        <f>D860+E860</f>
        <v>2336.09</v>
      </c>
      <c r="G860" s="143"/>
      <c r="H860" s="4"/>
      <c r="I860" s="72"/>
      <c r="J860" s="4"/>
      <c r="K860" s="42"/>
      <c r="L860" s="4"/>
      <c r="M860" s="4"/>
      <c r="N860" s="4"/>
      <c r="O860" s="4"/>
      <c r="Y860" s="153"/>
      <c r="BI860" s="154"/>
      <c r="BJ860" s="20"/>
    </row>
    <row r="861" spans="1:256" s="19" customFormat="1" ht="21.75" customHeight="1" x14ac:dyDescent="0.2">
      <c r="A861" s="185" t="s">
        <v>1069</v>
      </c>
      <c r="B861" s="300" t="s">
        <v>1070</v>
      </c>
      <c r="C861" s="298" t="s">
        <v>230</v>
      </c>
      <c r="D861" s="295">
        <f>755.36*1.05</f>
        <v>793.13</v>
      </c>
      <c r="E861" s="16">
        <f t="shared" si="85"/>
        <v>158.63</v>
      </c>
      <c r="F861" s="188">
        <f>D861+E861</f>
        <v>951.76</v>
      </c>
      <c r="G861" s="143"/>
      <c r="H861" s="4"/>
      <c r="I861" s="72"/>
      <c r="J861" s="4"/>
      <c r="K861" s="42"/>
      <c r="L861" s="4"/>
      <c r="M861" s="4"/>
      <c r="N861" s="4"/>
      <c r="O861" s="4"/>
      <c r="Y861" s="153"/>
      <c r="BI861" s="154"/>
      <c r="BJ861" s="20"/>
    </row>
    <row r="862" spans="1:256" s="79" customFormat="1" ht="49.5" customHeight="1" x14ac:dyDescent="0.2">
      <c r="A862" s="185" t="s">
        <v>1743</v>
      </c>
      <c r="B862" s="300" t="s">
        <v>1744</v>
      </c>
      <c r="C862" s="298" t="s">
        <v>230</v>
      </c>
      <c r="D862" s="295">
        <v>1547.83</v>
      </c>
      <c r="E862" s="16">
        <f t="shared" ref="E862" si="87">D862*20%</f>
        <v>309.57</v>
      </c>
      <c r="F862" s="188">
        <f>D862+E862</f>
        <v>1857.4</v>
      </c>
      <c r="G862" s="143"/>
      <c r="H862" s="4"/>
      <c r="I862" s="72"/>
      <c r="J862" s="4"/>
      <c r="K862" s="42"/>
      <c r="L862" s="4"/>
      <c r="M862" s="4"/>
      <c r="N862" s="4"/>
      <c r="O862" s="4"/>
      <c r="Y862" s="154"/>
      <c r="BI862" s="154"/>
      <c r="BJ862" s="191"/>
    </row>
    <row r="863" spans="1:256" ht="21" hidden="1" customHeight="1" x14ac:dyDescent="0.2">
      <c r="A863" s="189"/>
      <c r="B863" s="82"/>
      <c r="C863" s="190"/>
      <c r="D863" s="143"/>
      <c r="E863" s="85"/>
      <c r="F863" s="85"/>
      <c r="EH863" s="3"/>
      <c r="GS863" s="3"/>
      <c r="GT863" s="4"/>
      <c r="GU863" s="4"/>
      <c r="GV863" s="4"/>
      <c r="GW863" s="4"/>
      <c r="GX863" s="4"/>
      <c r="GY863" s="4"/>
      <c r="GZ863" s="4"/>
      <c r="HA863" s="4"/>
      <c r="IV863" s="192"/>
    </row>
    <row r="864" spans="1:256" ht="21" hidden="1" customHeight="1" x14ac:dyDescent="0.2">
      <c r="A864" s="189"/>
      <c r="B864" s="82"/>
      <c r="C864" s="190"/>
      <c r="D864" s="143"/>
      <c r="E864" s="85"/>
      <c r="F864" s="85"/>
      <c r="EH864" s="3"/>
      <c r="GS864" s="3"/>
      <c r="GT864" s="4"/>
      <c r="GU864" s="4"/>
      <c r="GV864" s="4"/>
      <c r="GW864" s="4"/>
      <c r="GX864" s="4"/>
      <c r="GY864" s="4"/>
      <c r="GZ864" s="4"/>
      <c r="HA864" s="4"/>
      <c r="IV864" s="192"/>
    </row>
    <row r="865" spans="1:256" ht="21" hidden="1" customHeight="1" x14ac:dyDescent="0.2">
      <c r="A865" s="189"/>
      <c r="B865" s="82"/>
      <c r="C865" s="190"/>
      <c r="D865" s="143"/>
      <c r="E865" s="85"/>
      <c r="F865" s="85"/>
      <c r="EH865" s="3"/>
      <c r="GS865" s="3"/>
      <c r="GT865" s="4"/>
      <c r="GU865" s="4"/>
      <c r="GV865" s="4"/>
      <c r="GW865" s="4"/>
      <c r="GX865" s="4"/>
      <c r="GY865" s="4"/>
      <c r="GZ865" s="4"/>
      <c r="HA865" s="4"/>
      <c r="IV865" s="192"/>
    </row>
    <row r="866" spans="1:256" ht="21" hidden="1" customHeight="1" x14ac:dyDescent="0.2">
      <c r="A866" s="189"/>
      <c r="B866" s="82"/>
      <c r="C866" s="190"/>
      <c r="D866" s="143"/>
      <c r="E866" s="85"/>
      <c r="F866" s="85"/>
      <c r="EH866" s="3"/>
      <c r="GS866" s="3"/>
      <c r="GT866" s="4"/>
      <c r="GU866" s="4"/>
      <c r="GV866" s="4"/>
      <c r="GW866" s="4"/>
      <c r="GX866" s="4"/>
      <c r="GY866" s="4"/>
      <c r="GZ866" s="4"/>
      <c r="HA866" s="4"/>
      <c r="IV866" s="192"/>
    </row>
    <row r="867" spans="1:256" ht="21" hidden="1" customHeight="1" x14ac:dyDescent="0.2">
      <c r="A867" s="189"/>
      <c r="B867" s="82"/>
      <c r="C867" s="190"/>
      <c r="D867" s="143"/>
      <c r="E867" s="85"/>
      <c r="F867" s="85"/>
      <c r="EH867" s="3"/>
      <c r="GS867" s="3"/>
      <c r="GT867" s="4"/>
      <c r="GU867" s="4"/>
      <c r="GV867" s="4"/>
      <c r="GW867" s="4"/>
      <c r="GX867" s="4"/>
      <c r="GY867" s="4"/>
      <c r="GZ867" s="4"/>
      <c r="HA867" s="4"/>
      <c r="IV867" s="192"/>
    </row>
    <row r="868" spans="1:256" ht="21" hidden="1" customHeight="1" x14ac:dyDescent="0.2">
      <c r="A868" s="189"/>
      <c r="B868" s="82"/>
      <c r="C868" s="190"/>
      <c r="D868" s="143"/>
      <c r="E868" s="85"/>
      <c r="F868" s="85"/>
      <c r="EH868" s="3"/>
      <c r="GS868" s="3"/>
      <c r="GT868" s="4"/>
      <c r="GU868" s="4"/>
      <c r="GV868" s="4"/>
      <c r="GW868" s="4"/>
      <c r="GX868" s="4"/>
      <c r="GY868" s="4"/>
      <c r="GZ868" s="4"/>
      <c r="HA868" s="4"/>
      <c r="IV868" s="192"/>
    </row>
    <row r="869" spans="1:256" ht="21" hidden="1" customHeight="1" x14ac:dyDescent="0.2">
      <c r="A869" s="189"/>
      <c r="B869" s="82"/>
      <c r="C869" s="190"/>
      <c r="D869" s="143"/>
      <c r="E869" s="85"/>
      <c r="F869" s="85"/>
      <c r="EH869" s="3"/>
      <c r="GS869" s="3"/>
      <c r="GT869" s="4"/>
      <c r="GU869" s="4"/>
      <c r="GV869" s="4"/>
      <c r="GW869" s="4"/>
      <c r="GX869" s="4"/>
      <c r="GY869" s="4"/>
      <c r="GZ869" s="4"/>
      <c r="HA869" s="4"/>
      <c r="IV869" s="192"/>
    </row>
    <row r="870" spans="1:256" ht="21" hidden="1" customHeight="1" x14ac:dyDescent="0.2">
      <c r="A870" s="189"/>
      <c r="B870" s="82"/>
      <c r="C870" s="190"/>
      <c r="D870" s="143"/>
      <c r="E870" s="85"/>
      <c r="F870" s="85"/>
      <c r="EH870" s="3"/>
      <c r="GS870" s="3"/>
      <c r="GT870" s="4"/>
      <c r="GU870" s="4"/>
      <c r="GV870" s="4"/>
      <c r="GW870" s="4"/>
      <c r="GX870" s="4"/>
      <c r="GY870" s="4"/>
      <c r="GZ870" s="4"/>
      <c r="HA870" s="4"/>
      <c r="IV870" s="192"/>
    </row>
    <row r="871" spans="1:256" ht="21" hidden="1" customHeight="1" x14ac:dyDescent="0.2">
      <c r="A871" s="189"/>
      <c r="B871" s="82"/>
      <c r="C871" s="190"/>
      <c r="D871" s="143"/>
      <c r="E871" s="85"/>
      <c r="F871" s="85"/>
      <c r="EH871" s="3"/>
      <c r="GS871" s="3"/>
      <c r="GT871" s="4"/>
      <c r="GU871" s="4"/>
      <c r="GV871" s="4"/>
      <c r="GW871" s="4"/>
      <c r="GX871" s="4"/>
      <c r="GY871" s="4"/>
      <c r="GZ871" s="4"/>
      <c r="HA871" s="4"/>
      <c r="IV871" s="192"/>
    </row>
    <row r="872" spans="1:256" ht="21" hidden="1" customHeight="1" x14ac:dyDescent="0.2">
      <c r="A872" s="189"/>
      <c r="B872" s="82"/>
      <c r="C872" s="190"/>
      <c r="D872" s="143"/>
      <c r="E872" s="85"/>
      <c r="F872" s="85"/>
      <c r="EH872" s="3"/>
      <c r="GS872" s="3"/>
      <c r="GT872" s="4"/>
      <c r="GU872" s="4"/>
      <c r="GV872" s="4"/>
      <c r="GW872" s="4"/>
      <c r="GX872" s="4"/>
      <c r="GY872" s="4"/>
      <c r="GZ872" s="4"/>
      <c r="HA872" s="4"/>
      <c r="IV872" s="192"/>
    </row>
    <row r="873" spans="1:256" ht="21" hidden="1" customHeight="1" x14ac:dyDescent="0.2">
      <c r="A873" s="189"/>
      <c r="B873" s="82"/>
      <c r="C873" s="190"/>
      <c r="D873" s="143"/>
      <c r="E873" s="85"/>
      <c r="F873" s="85"/>
      <c r="EH873" s="3"/>
      <c r="GS873" s="3"/>
      <c r="GT873" s="4"/>
      <c r="GU873" s="4"/>
      <c r="GV873" s="4"/>
      <c r="GW873" s="4"/>
      <c r="GX873" s="4"/>
      <c r="GY873" s="4"/>
      <c r="GZ873" s="4"/>
      <c r="HA873" s="4"/>
      <c r="IV873" s="192"/>
    </row>
    <row r="874" spans="1:256" ht="24.75" hidden="1" customHeight="1" x14ac:dyDescent="0.2">
      <c r="A874" s="189"/>
      <c r="B874" s="82"/>
      <c r="C874" s="190"/>
      <c r="D874" s="143"/>
      <c r="E874" s="85"/>
      <c r="F874" s="85"/>
      <c r="EH874" s="3"/>
      <c r="GS874" s="3"/>
      <c r="GT874" s="4"/>
      <c r="GU874" s="4"/>
      <c r="GV874" s="4"/>
      <c r="GW874" s="4"/>
      <c r="GX874" s="4"/>
      <c r="GY874" s="4"/>
      <c r="GZ874" s="4"/>
      <c r="HA874" s="4"/>
      <c r="IV874" s="192"/>
    </row>
    <row r="875" spans="1:256" ht="24.75" hidden="1" customHeight="1" x14ac:dyDescent="0.2">
      <c r="A875" s="189"/>
      <c r="B875" s="82"/>
      <c r="C875" s="190"/>
      <c r="D875" s="143"/>
      <c r="E875" s="85"/>
      <c r="F875" s="85"/>
      <c r="EH875" s="3"/>
      <c r="GS875" s="3"/>
      <c r="GT875" s="4"/>
      <c r="GU875" s="4"/>
      <c r="GV875" s="4"/>
      <c r="GW875" s="4"/>
      <c r="GX875" s="4"/>
      <c r="GY875" s="4"/>
      <c r="GZ875" s="4"/>
      <c r="HA875" s="4"/>
      <c r="IV875" s="192"/>
    </row>
    <row r="876" spans="1:256" ht="24.75" hidden="1" customHeight="1" x14ac:dyDescent="0.2">
      <c r="A876" s="189"/>
      <c r="B876" s="82"/>
      <c r="C876" s="190"/>
      <c r="D876" s="143"/>
      <c r="E876" s="85"/>
      <c r="F876" s="85"/>
      <c r="EH876" s="3"/>
      <c r="GS876" s="3"/>
      <c r="GT876" s="4"/>
      <c r="GU876" s="4"/>
      <c r="GV876" s="4"/>
      <c r="GW876" s="4"/>
      <c r="GX876" s="4"/>
      <c r="GY876" s="4"/>
      <c r="GZ876" s="4"/>
      <c r="HA876" s="4"/>
      <c r="IV876" s="192"/>
    </row>
    <row r="877" spans="1:256" ht="24.75" hidden="1" customHeight="1" x14ac:dyDescent="0.2">
      <c r="A877" s="189"/>
      <c r="B877" s="82"/>
      <c r="C877" s="190"/>
      <c r="D877" s="143"/>
      <c r="E877" s="85"/>
      <c r="F877" s="85"/>
      <c r="EH877" s="3"/>
      <c r="GS877" s="3"/>
      <c r="GT877" s="4"/>
      <c r="GU877" s="4"/>
      <c r="GV877" s="4"/>
      <c r="GW877" s="4"/>
      <c r="GX877" s="4"/>
      <c r="GY877" s="4"/>
      <c r="GZ877" s="4"/>
      <c r="HA877" s="4"/>
      <c r="IV877" s="192"/>
    </row>
    <row r="878" spans="1:256" ht="21.75" customHeight="1" x14ac:dyDescent="0.2">
      <c r="A878" s="193"/>
      <c r="B878" s="194"/>
      <c r="C878" s="195"/>
      <c r="D878" s="195"/>
      <c r="E878" s="195"/>
      <c r="F878" s="195"/>
      <c r="EH878" s="3"/>
      <c r="GS878" s="3"/>
      <c r="GT878" s="4"/>
      <c r="GU878" s="4"/>
      <c r="GV878" s="4"/>
      <c r="GW878" s="4"/>
      <c r="GX878" s="4"/>
      <c r="GY878" s="4"/>
      <c r="GZ878" s="4"/>
      <c r="HA878" s="4"/>
    </row>
    <row r="879" spans="1:256" ht="27.75" customHeight="1" x14ac:dyDescent="0.2">
      <c r="A879" s="339" t="s">
        <v>1761</v>
      </c>
      <c r="B879" s="339"/>
      <c r="C879" s="339"/>
      <c r="D879" s="339"/>
      <c r="E879" s="339"/>
      <c r="F879" s="339"/>
      <c r="G879" s="339"/>
      <c r="EH879" s="3"/>
      <c r="GS879" s="3"/>
      <c r="GT879" s="4"/>
      <c r="GU879" s="4"/>
      <c r="GV879" s="4"/>
      <c r="GW879" s="4"/>
      <c r="GX879" s="4"/>
      <c r="GY879" s="4"/>
      <c r="GZ879" s="4"/>
      <c r="HA879" s="4"/>
    </row>
    <row r="880" spans="1:256" ht="67.5" customHeight="1" x14ac:dyDescent="0.2">
      <c r="A880" s="292" t="s">
        <v>1071</v>
      </c>
      <c r="B880" s="296" t="s">
        <v>1072</v>
      </c>
      <c r="C880" s="296" t="s">
        <v>6</v>
      </c>
      <c r="D880" s="296" t="s">
        <v>7</v>
      </c>
      <c r="E880" s="296" t="s">
        <v>1073</v>
      </c>
      <c r="F880" s="296" t="s">
        <v>1074</v>
      </c>
      <c r="EH880" s="3"/>
      <c r="GS880" s="3"/>
      <c r="GT880" s="4"/>
      <c r="GU880" s="4"/>
      <c r="GV880" s="4"/>
      <c r="GW880" s="4"/>
      <c r="GX880" s="4"/>
      <c r="GY880" s="4"/>
      <c r="GZ880" s="4"/>
      <c r="HA880" s="4"/>
    </row>
    <row r="881" spans="1:256" ht="15.75" x14ac:dyDescent="0.2">
      <c r="A881" s="292">
        <v>1</v>
      </c>
      <c r="B881" s="296">
        <v>2</v>
      </c>
      <c r="C881" s="296">
        <v>3</v>
      </c>
      <c r="D881" s="296">
        <v>4</v>
      </c>
      <c r="E881" s="296">
        <v>5</v>
      </c>
      <c r="F881" s="296">
        <v>6</v>
      </c>
      <c r="EH881" s="3"/>
      <c r="GS881" s="3"/>
      <c r="GT881" s="4"/>
      <c r="GU881" s="4"/>
      <c r="GV881" s="4"/>
      <c r="GW881" s="4"/>
      <c r="GX881" s="4"/>
      <c r="GY881" s="4"/>
      <c r="GZ881" s="4"/>
      <c r="HA881" s="4"/>
    </row>
    <row r="882" spans="1:256" ht="31.5" x14ac:dyDescent="0.2">
      <c r="A882" s="196" t="s">
        <v>11</v>
      </c>
      <c r="B882" s="279" t="s">
        <v>1075</v>
      </c>
      <c r="C882" s="197" t="s">
        <v>1076</v>
      </c>
      <c r="D882" s="295">
        <f>114.95*1.05</f>
        <v>120.7</v>
      </c>
      <c r="E882" s="16">
        <f>D882*20%</f>
        <v>24.14</v>
      </c>
      <c r="F882" s="164">
        <f>D882+E882</f>
        <v>144.84</v>
      </c>
      <c r="EH882" s="3"/>
      <c r="GS882" s="3"/>
      <c r="GT882" s="4"/>
      <c r="GU882" s="4"/>
      <c r="GV882" s="4"/>
      <c r="GW882" s="4"/>
      <c r="GX882" s="4"/>
      <c r="GY882" s="4"/>
      <c r="GZ882" s="4"/>
      <c r="HA882" s="4"/>
      <c r="IU882" s="129">
        <f>105.77*1.04</f>
        <v>110</v>
      </c>
      <c r="IV882" s="198">
        <f>110*1.045</f>
        <v>114.95</v>
      </c>
    </row>
    <row r="883" spans="1:256" ht="15.75" x14ac:dyDescent="0.25">
      <c r="A883" s="196" t="s">
        <v>23</v>
      </c>
      <c r="B883" s="338" t="s">
        <v>1077</v>
      </c>
      <c r="C883" s="338"/>
      <c r="D883" s="338"/>
      <c r="E883" s="338"/>
      <c r="F883" s="338"/>
      <c r="EH883" s="3"/>
      <c r="GS883" s="3"/>
      <c r="GT883" s="4"/>
      <c r="GU883" s="4"/>
      <c r="GV883" s="4"/>
      <c r="GW883" s="4"/>
      <c r="GX883" s="4"/>
      <c r="GY883" s="4"/>
      <c r="GZ883" s="4"/>
      <c r="HA883" s="4"/>
    </row>
    <row r="884" spans="1:256" ht="18.75" customHeight="1" x14ac:dyDescent="0.25">
      <c r="A884" s="199" t="s">
        <v>569</v>
      </c>
      <c r="B884" s="200" t="s">
        <v>1078</v>
      </c>
      <c r="C884" s="197" t="s">
        <v>1076</v>
      </c>
      <c r="D884" s="295">
        <f>15.66*1.05</f>
        <v>16.440000000000001</v>
      </c>
      <c r="E884" s="16">
        <f>D884*20%</f>
        <v>3.29</v>
      </c>
      <c r="F884" s="164">
        <f>D884+E884</f>
        <v>19.73</v>
      </c>
      <c r="EH884" s="3"/>
      <c r="GS884" s="3"/>
      <c r="GT884" s="4"/>
      <c r="GU884" s="4"/>
      <c r="GV884" s="4"/>
      <c r="GW884" s="4"/>
      <c r="GX884" s="4"/>
      <c r="GY884" s="4"/>
      <c r="GZ884" s="4"/>
      <c r="HA884" s="4"/>
      <c r="IU884" s="162">
        <f>14.41*1.04</f>
        <v>14.99</v>
      </c>
      <c r="IV884" s="198">
        <f>14.99*1.045</f>
        <v>15.66</v>
      </c>
    </row>
    <row r="885" spans="1:256" ht="47.25" x14ac:dyDescent="0.2">
      <c r="A885" s="201" t="s">
        <v>571</v>
      </c>
      <c r="B885" s="285" t="s">
        <v>1079</v>
      </c>
      <c r="C885" s="197" t="s">
        <v>1076</v>
      </c>
      <c r="D885" s="295">
        <f>312.12*1.05</f>
        <v>327.73</v>
      </c>
      <c r="E885" s="16">
        <f>D885*20%</f>
        <v>65.55</v>
      </c>
      <c r="F885" s="164">
        <f>D885+E885</f>
        <v>393.28</v>
      </c>
      <c r="EH885" s="3"/>
      <c r="GS885" s="3"/>
      <c r="GT885" s="4"/>
      <c r="GU885" s="4"/>
      <c r="GV885" s="4"/>
      <c r="GW885" s="4"/>
      <c r="GX885" s="4"/>
      <c r="GY885" s="4"/>
      <c r="GZ885" s="4"/>
      <c r="HA885" s="4"/>
      <c r="IU885" s="162">
        <f>287.19*1.04</f>
        <v>298.68</v>
      </c>
      <c r="IV885" s="198">
        <f>298.68*1.045</f>
        <v>312.12</v>
      </c>
    </row>
    <row r="886" spans="1:256" ht="21" customHeight="1" x14ac:dyDescent="0.2">
      <c r="A886" s="201" t="s">
        <v>573</v>
      </c>
      <c r="B886" s="285" t="s">
        <v>1080</v>
      </c>
      <c r="C886" s="197" t="s">
        <v>1076</v>
      </c>
      <c r="D886" s="295">
        <f>51.83*1.05</f>
        <v>54.42</v>
      </c>
      <c r="E886" s="16">
        <f>D886*20%</f>
        <v>10.88</v>
      </c>
      <c r="F886" s="164">
        <f>D886+E886</f>
        <v>65.3</v>
      </c>
      <c r="EH886" s="3"/>
      <c r="GS886" s="3"/>
      <c r="GT886" s="4"/>
      <c r="GU886" s="4"/>
      <c r="GV886" s="4"/>
      <c r="GW886" s="4"/>
      <c r="GX886" s="4"/>
      <c r="GY886" s="4"/>
      <c r="GZ886" s="4"/>
      <c r="HA886" s="4"/>
      <c r="IU886" s="162">
        <f>47.69*1.04</f>
        <v>49.6</v>
      </c>
      <c r="IV886" s="198">
        <f>49.6*1.045</f>
        <v>51.83</v>
      </c>
    </row>
    <row r="887" spans="1:256" ht="19.5" customHeight="1" x14ac:dyDescent="0.2">
      <c r="A887" s="201" t="s">
        <v>575</v>
      </c>
      <c r="B887" s="285" t="s">
        <v>1081</v>
      </c>
      <c r="C887" s="197" t="s">
        <v>1076</v>
      </c>
      <c r="D887" s="295">
        <f>102.41*1.05</f>
        <v>107.53</v>
      </c>
      <c r="E887" s="16">
        <f>D887*20%</f>
        <v>21.51</v>
      </c>
      <c r="F887" s="164">
        <f>D887+E887</f>
        <v>129.04</v>
      </c>
      <c r="EH887" s="3"/>
      <c r="GS887" s="3"/>
      <c r="GT887" s="4"/>
      <c r="GU887" s="4"/>
      <c r="GV887" s="4"/>
      <c r="GW887" s="4"/>
      <c r="GX887" s="4"/>
      <c r="GY887" s="4"/>
      <c r="GZ887" s="4"/>
      <c r="HA887" s="4"/>
      <c r="IU887" s="162">
        <f>94.23*1.04</f>
        <v>98</v>
      </c>
      <c r="IV887" s="198">
        <f>98*1.045</f>
        <v>102.41</v>
      </c>
    </row>
    <row r="888" spans="1:256" ht="15.75" x14ac:dyDescent="0.2">
      <c r="A888" s="196" t="s">
        <v>26</v>
      </c>
      <c r="B888" s="313" t="s">
        <v>1082</v>
      </c>
      <c r="C888" s="313"/>
      <c r="D888" s="313"/>
      <c r="E888" s="313"/>
      <c r="F888" s="313"/>
      <c r="EH888" s="3"/>
      <c r="GS888" s="3"/>
      <c r="GT888" s="4"/>
      <c r="GU888" s="4"/>
      <c r="GV888" s="4"/>
      <c r="GW888" s="4"/>
      <c r="GX888" s="4"/>
      <c r="GY888" s="4"/>
      <c r="GZ888" s="4"/>
      <c r="HA888" s="4"/>
    </row>
    <row r="889" spans="1:256" ht="15.75" x14ac:dyDescent="0.25">
      <c r="A889" s="201" t="s">
        <v>584</v>
      </c>
      <c r="B889" s="200" t="s">
        <v>1083</v>
      </c>
      <c r="C889" s="197" t="s">
        <v>1076</v>
      </c>
      <c r="D889" s="295">
        <f>36.4*1.05</f>
        <v>38.22</v>
      </c>
      <c r="E889" s="16">
        <f>D889*20%</f>
        <v>7.64</v>
      </c>
      <c r="F889" s="164">
        <f>D889+E889</f>
        <v>45.86</v>
      </c>
      <c r="EH889" s="3"/>
      <c r="GS889" s="3"/>
      <c r="GT889" s="4"/>
      <c r="GU889" s="4"/>
      <c r="GV889" s="4"/>
      <c r="GW889" s="4"/>
      <c r="GX889" s="4"/>
      <c r="GY889" s="4"/>
      <c r="GZ889" s="4"/>
      <c r="HA889" s="4"/>
      <c r="IU889" s="162">
        <f>6.88*1.04</f>
        <v>7.16</v>
      </c>
      <c r="IV889" s="198">
        <f>7.16*1.045</f>
        <v>7.48</v>
      </c>
    </row>
    <row r="890" spans="1:256" ht="15.75" x14ac:dyDescent="0.25">
      <c r="A890" s="201" t="s">
        <v>586</v>
      </c>
      <c r="B890" s="200" t="s">
        <v>1084</v>
      </c>
      <c r="C890" s="197" t="s">
        <v>1076</v>
      </c>
      <c r="D890" s="295">
        <f>36.58*1.05</f>
        <v>38.409999999999997</v>
      </c>
      <c r="E890" s="16">
        <f>D890*20%</f>
        <v>7.68</v>
      </c>
      <c r="F890" s="164">
        <f>D890+E890</f>
        <v>46.09</v>
      </c>
      <c r="EH890" s="3"/>
      <c r="GS890" s="3"/>
      <c r="GT890" s="4"/>
      <c r="GU890" s="4"/>
      <c r="GV890" s="4"/>
      <c r="GW890" s="4"/>
      <c r="GX890" s="4"/>
      <c r="GY890" s="4"/>
      <c r="GZ890" s="4"/>
      <c r="HA890" s="4"/>
      <c r="IU890" s="162">
        <f>33.65*1.04</f>
        <v>35</v>
      </c>
      <c r="IV890" s="198">
        <f>35*1.045</f>
        <v>36.58</v>
      </c>
    </row>
    <row r="891" spans="1:256" ht="18" customHeight="1" x14ac:dyDescent="0.25">
      <c r="A891" s="201" t="s">
        <v>588</v>
      </c>
      <c r="B891" s="200" t="s">
        <v>1085</v>
      </c>
      <c r="C891" s="197" t="s">
        <v>1076</v>
      </c>
      <c r="D891" s="295">
        <f>46.37*1.05</f>
        <v>48.69</v>
      </c>
      <c r="E891" s="16">
        <f>D891*20%</f>
        <v>9.74</v>
      </c>
      <c r="F891" s="164">
        <f>D891+E891</f>
        <v>58.43</v>
      </c>
      <c r="EH891" s="3"/>
      <c r="GS891" s="3"/>
      <c r="GT891" s="4"/>
      <c r="GU891" s="4"/>
      <c r="GV891" s="4"/>
      <c r="GW891" s="4"/>
      <c r="GX891" s="4"/>
      <c r="GY891" s="4"/>
      <c r="GZ891" s="4"/>
      <c r="HA891" s="4"/>
      <c r="IU891" s="162">
        <f>42.66*1.04</f>
        <v>44.37</v>
      </c>
      <c r="IV891" s="198">
        <f>44.37*1.045</f>
        <v>46.37</v>
      </c>
    </row>
    <row r="892" spans="1:256" ht="15.75" customHeight="1" x14ac:dyDescent="0.2">
      <c r="A892" s="196" t="s">
        <v>28</v>
      </c>
      <c r="B892" s="313" t="s">
        <v>1086</v>
      </c>
      <c r="C892" s="313"/>
      <c r="D892" s="313"/>
      <c r="E892" s="313"/>
      <c r="F892" s="313"/>
      <c r="EH892" s="3"/>
      <c r="GS892" s="3"/>
      <c r="GT892" s="4"/>
      <c r="GU892" s="4"/>
      <c r="GV892" s="4"/>
      <c r="GW892" s="4"/>
      <c r="GX892" s="4"/>
      <c r="GY892" s="4"/>
      <c r="GZ892" s="4"/>
      <c r="HA892" s="4"/>
    </row>
    <row r="893" spans="1:256" ht="15.75" x14ac:dyDescent="0.2">
      <c r="A893" s="201" t="s">
        <v>633</v>
      </c>
      <c r="B893" s="285" t="s">
        <v>1087</v>
      </c>
      <c r="C893" s="197" t="s">
        <v>1076</v>
      </c>
      <c r="D893" s="295">
        <f>50.37*1.05</f>
        <v>52.89</v>
      </c>
      <c r="E893" s="16">
        <f>D893*20%</f>
        <v>10.58</v>
      </c>
      <c r="F893" s="164">
        <f>D893+E893</f>
        <v>63.47</v>
      </c>
      <c r="EH893" s="3"/>
      <c r="GS893" s="3"/>
      <c r="GT893" s="4"/>
      <c r="GU893" s="4"/>
      <c r="GV893" s="4"/>
      <c r="GW893" s="4"/>
      <c r="GX893" s="4"/>
      <c r="GY893" s="4"/>
      <c r="GZ893" s="4"/>
      <c r="HA893" s="4"/>
      <c r="IU893" s="162">
        <f>13.93*1.04</f>
        <v>14.49</v>
      </c>
      <c r="IV893" s="198">
        <f>14.49*1.045</f>
        <v>15.14</v>
      </c>
    </row>
    <row r="894" spans="1:256" ht="21" customHeight="1" x14ac:dyDescent="0.2">
      <c r="A894" s="201" t="s">
        <v>634</v>
      </c>
      <c r="B894" s="285" t="s">
        <v>1088</v>
      </c>
      <c r="C894" s="197" t="s">
        <v>1076</v>
      </c>
      <c r="D894" s="295">
        <f>50.37*1.05</f>
        <v>52.89</v>
      </c>
      <c r="E894" s="16">
        <f>D894*20%</f>
        <v>10.58</v>
      </c>
      <c r="F894" s="164">
        <f>D894+E894</f>
        <v>63.47</v>
      </c>
      <c r="EH894" s="3"/>
      <c r="GS894" s="3"/>
      <c r="GT894" s="4"/>
      <c r="GU894" s="4"/>
      <c r="GV894" s="4"/>
      <c r="GW894" s="4"/>
      <c r="GX894" s="4"/>
      <c r="GY894" s="4"/>
      <c r="GZ894" s="4"/>
      <c r="HA894" s="4"/>
      <c r="IU894" s="162">
        <f>13.93*1.04</f>
        <v>14.49</v>
      </c>
      <c r="IV894" s="198">
        <f>14.49*1.045</f>
        <v>15.14</v>
      </c>
    </row>
    <row r="895" spans="1:256" ht="20.25" customHeight="1" x14ac:dyDescent="0.2">
      <c r="A895" s="196" t="s">
        <v>30</v>
      </c>
      <c r="B895" s="313" t="s">
        <v>1089</v>
      </c>
      <c r="C895" s="313"/>
      <c r="D895" s="313"/>
      <c r="E895" s="313"/>
      <c r="F895" s="313"/>
      <c r="EH895" s="3"/>
      <c r="GS895" s="3"/>
      <c r="GT895" s="4"/>
      <c r="GU895" s="4"/>
      <c r="GV895" s="4"/>
      <c r="GW895" s="4"/>
      <c r="GX895" s="4"/>
      <c r="GY895" s="4"/>
      <c r="GZ895" s="4"/>
      <c r="HA895" s="4"/>
    </row>
    <row r="896" spans="1:256" ht="15.75" x14ac:dyDescent="0.2">
      <c r="A896" s="201" t="s">
        <v>645</v>
      </c>
      <c r="B896" s="285" t="s">
        <v>1090</v>
      </c>
      <c r="C896" s="197" t="s">
        <v>1091</v>
      </c>
      <c r="D896" s="295">
        <f>225.47*1.05</f>
        <v>236.74</v>
      </c>
      <c r="E896" s="16">
        <f t="shared" ref="E896:E902" si="88">D896*20%</f>
        <v>47.35</v>
      </c>
      <c r="F896" s="164">
        <f t="shared" ref="F896:F901" si="89">D896+E896</f>
        <v>284.08999999999997</v>
      </c>
      <c r="EH896" s="3" t="s">
        <v>1092</v>
      </c>
      <c r="GS896" s="3"/>
      <c r="GT896" s="4"/>
      <c r="GU896" s="4"/>
      <c r="GV896" s="4"/>
      <c r="GW896" s="4"/>
      <c r="GX896" s="4"/>
      <c r="GY896" s="4"/>
      <c r="GZ896" s="4"/>
      <c r="HA896" s="4"/>
    </row>
    <row r="897" spans="1:256" ht="15.75" x14ac:dyDescent="0.2">
      <c r="A897" s="201" t="s">
        <v>646</v>
      </c>
      <c r="B897" s="285" t="s">
        <v>1093</v>
      </c>
      <c r="C897" s="197" t="s">
        <v>1094</v>
      </c>
      <c r="D897" s="295">
        <f>264.49*1.05</f>
        <v>277.70999999999998</v>
      </c>
      <c r="E897" s="16">
        <f t="shared" si="88"/>
        <v>55.54</v>
      </c>
      <c r="F897" s="164">
        <f t="shared" si="89"/>
        <v>333.25</v>
      </c>
      <c r="EH897" s="3"/>
      <c r="GS897" s="3"/>
      <c r="GT897" s="4"/>
      <c r="GU897" s="4"/>
      <c r="GV897" s="4"/>
      <c r="GW897" s="4"/>
      <c r="GX897" s="4"/>
      <c r="GY897" s="4"/>
      <c r="GZ897" s="4"/>
      <c r="HA897" s="4"/>
      <c r="HM897">
        <v>312.10000000000002</v>
      </c>
      <c r="IT897">
        <f>HM897/1.18</f>
        <v>264.491525423729</v>
      </c>
      <c r="IU897" s="162">
        <f>147.54*1.04</f>
        <v>153.44</v>
      </c>
      <c r="IV897" s="198">
        <f>153.44*1.045</f>
        <v>160.34</v>
      </c>
    </row>
    <row r="898" spans="1:256" ht="15.75" x14ac:dyDescent="0.2">
      <c r="A898" s="201" t="s">
        <v>647</v>
      </c>
      <c r="B898" s="285" t="s">
        <v>1095</v>
      </c>
      <c r="C898" s="197" t="s">
        <v>1091</v>
      </c>
      <c r="D898" s="295">
        <f>110.79*1.05</f>
        <v>116.33</v>
      </c>
      <c r="E898" s="16">
        <f t="shared" si="88"/>
        <v>23.27</v>
      </c>
      <c r="F898" s="164">
        <f t="shared" si="89"/>
        <v>139.6</v>
      </c>
      <c r="EH898" s="3"/>
      <c r="GS898" s="3"/>
      <c r="GT898" s="4"/>
      <c r="GU898" s="4"/>
      <c r="GV898" s="4"/>
      <c r="GW898" s="4"/>
      <c r="GX898" s="4"/>
      <c r="GY898" s="4"/>
      <c r="GZ898" s="4"/>
      <c r="HA898" s="4"/>
      <c r="IU898" s="162">
        <f>101.94*1.04</f>
        <v>106.02</v>
      </c>
      <c r="IV898" s="198">
        <f>106.02*1.045</f>
        <v>110.79</v>
      </c>
    </row>
    <row r="899" spans="1:256" ht="15.75" x14ac:dyDescent="0.2">
      <c r="A899" s="201" t="s">
        <v>648</v>
      </c>
      <c r="B899" s="285" t="s">
        <v>1096</v>
      </c>
      <c r="C899" s="197" t="s">
        <v>1091</v>
      </c>
      <c r="D899" s="295">
        <f>319.62*1.05</f>
        <v>335.6</v>
      </c>
      <c r="E899" s="16">
        <f t="shared" si="88"/>
        <v>67.12</v>
      </c>
      <c r="F899" s="164">
        <f>D899+E899</f>
        <v>402.72</v>
      </c>
      <c r="EH899" s="3"/>
      <c r="GS899" s="3"/>
      <c r="GT899" s="4"/>
      <c r="GU899" s="4"/>
      <c r="GV899" s="4"/>
      <c r="GW899" s="4"/>
      <c r="GX899" s="4"/>
      <c r="GY899" s="4"/>
      <c r="GZ899" s="4"/>
      <c r="HA899" s="4"/>
    </row>
    <row r="900" spans="1:256" ht="15.75" x14ac:dyDescent="0.2">
      <c r="A900" s="201" t="s">
        <v>650</v>
      </c>
      <c r="B900" s="285" t="s">
        <v>1088</v>
      </c>
      <c r="C900" s="197" t="s">
        <v>1091</v>
      </c>
      <c r="D900" s="295">
        <f>116.61*1.05</f>
        <v>122.44</v>
      </c>
      <c r="E900" s="16">
        <f t="shared" si="88"/>
        <v>24.49</v>
      </c>
      <c r="F900" s="164">
        <f>D900+E900</f>
        <v>146.93</v>
      </c>
      <c r="EH900" s="3"/>
      <c r="GS900" s="3"/>
      <c r="GT900" s="4"/>
      <c r="GU900" s="4"/>
      <c r="GV900" s="4"/>
      <c r="GW900" s="4"/>
      <c r="GX900" s="4"/>
      <c r="GY900" s="4"/>
      <c r="GZ900" s="4"/>
      <c r="HA900" s="4"/>
      <c r="HM900">
        <v>137.6</v>
      </c>
      <c r="IT900">
        <f>HM900/1.18</f>
        <v>116.610169491525</v>
      </c>
      <c r="IU900" s="162">
        <f>55.09*1.04</f>
        <v>57.29</v>
      </c>
      <c r="IV900" s="198">
        <f>57.29*1.045</f>
        <v>59.87</v>
      </c>
    </row>
    <row r="901" spans="1:256" ht="15.75" x14ac:dyDescent="0.2">
      <c r="A901" s="201" t="s">
        <v>652</v>
      </c>
      <c r="B901" s="285" t="s">
        <v>1097</v>
      </c>
      <c r="C901" s="197" t="s">
        <v>1098</v>
      </c>
      <c r="D901" s="295">
        <f>132.63*1.05</f>
        <v>139.26</v>
      </c>
      <c r="E901" s="16">
        <f t="shared" si="88"/>
        <v>27.85</v>
      </c>
      <c r="F901" s="164">
        <f t="shared" si="89"/>
        <v>167.11</v>
      </c>
      <c r="EH901" s="3"/>
      <c r="GS901" s="3"/>
      <c r="GT901" s="4"/>
      <c r="GU901" s="4"/>
      <c r="GV901" s="4"/>
      <c r="GW901" s="4"/>
      <c r="GX901" s="4"/>
      <c r="GY901" s="4"/>
      <c r="GZ901" s="4"/>
      <c r="HA901" s="4"/>
      <c r="IU901" s="162">
        <f>122.04*1.04</f>
        <v>126.92</v>
      </c>
      <c r="IV901" s="198">
        <f>126.92*1.045</f>
        <v>132.63</v>
      </c>
    </row>
    <row r="902" spans="1:256" ht="52.5" customHeight="1" x14ac:dyDescent="0.2">
      <c r="A902" s="196" t="s">
        <v>32</v>
      </c>
      <c r="B902" s="202" t="s">
        <v>1099</v>
      </c>
      <c r="C902" s="197" t="s">
        <v>1091</v>
      </c>
      <c r="D902" s="295">
        <f>215.49*1.05</f>
        <v>226.26</v>
      </c>
      <c r="E902" s="16">
        <f t="shared" si="88"/>
        <v>45.25</v>
      </c>
      <c r="F902" s="164">
        <f>D902+E902</f>
        <v>271.51</v>
      </c>
      <c r="EH902" s="3"/>
      <c r="GS902" s="3"/>
      <c r="GT902" s="4"/>
      <c r="GU902" s="4"/>
      <c r="GV902" s="4"/>
      <c r="GW902" s="4"/>
      <c r="GX902" s="4"/>
      <c r="GY902" s="4"/>
      <c r="GZ902" s="4"/>
      <c r="HA902" s="4"/>
    </row>
    <row r="903" spans="1:256" ht="19.5" customHeight="1" x14ac:dyDescent="0.2">
      <c r="A903" s="196" t="s">
        <v>34</v>
      </c>
      <c r="B903" s="313" t="s">
        <v>1100</v>
      </c>
      <c r="C903" s="313"/>
      <c r="D903" s="313"/>
      <c r="E903" s="313"/>
      <c r="F903" s="313"/>
      <c r="EH903" s="3"/>
      <c r="GS903" s="3"/>
      <c r="GT903" s="4"/>
      <c r="GU903" s="4"/>
      <c r="GV903" s="4"/>
      <c r="GW903" s="4"/>
      <c r="GX903" s="4"/>
      <c r="GY903" s="4"/>
      <c r="GZ903" s="4"/>
      <c r="HA903" s="4"/>
    </row>
    <row r="904" spans="1:256" ht="15.75" x14ac:dyDescent="0.25">
      <c r="A904" s="201" t="s">
        <v>685</v>
      </c>
      <c r="B904" s="200" t="s">
        <v>1101</v>
      </c>
      <c r="C904" s="197" t="s">
        <v>1091</v>
      </c>
      <c r="D904" s="295">
        <f>52.38*1.05</f>
        <v>55</v>
      </c>
      <c r="E904" s="16">
        <f>D904*20%</f>
        <v>11</v>
      </c>
      <c r="F904" s="164">
        <f>D904+E904</f>
        <v>66</v>
      </c>
      <c r="EH904" s="3"/>
      <c r="GS904" s="3"/>
      <c r="GT904" s="4"/>
      <c r="GU904" s="4"/>
      <c r="GV904" s="4"/>
      <c r="GW904" s="4"/>
      <c r="GX904" s="4"/>
      <c r="GY904" s="4"/>
      <c r="GZ904" s="4"/>
      <c r="HA904" s="4"/>
      <c r="IU904" s="162">
        <f>48.19*1.04</f>
        <v>50.12</v>
      </c>
      <c r="IV904" s="198">
        <f>50.12*1.045</f>
        <v>52.38</v>
      </c>
    </row>
    <row r="905" spans="1:256" ht="15.75" x14ac:dyDescent="0.25">
      <c r="A905" s="201" t="s">
        <v>686</v>
      </c>
      <c r="B905" s="200" t="s">
        <v>1088</v>
      </c>
      <c r="C905" s="197" t="s">
        <v>1091</v>
      </c>
      <c r="D905" s="295">
        <f>138.07*1.05</f>
        <v>144.97</v>
      </c>
      <c r="E905" s="16">
        <f>D905*20%</f>
        <v>28.99</v>
      </c>
      <c r="F905" s="164">
        <f>D905+E905</f>
        <v>173.96</v>
      </c>
      <c r="EH905" s="3"/>
      <c r="GS905" s="3"/>
      <c r="GT905" s="4"/>
      <c r="GU905" s="4"/>
      <c r="GV905" s="4"/>
      <c r="GW905" s="4"/>
      <c r="GX905" s="4"/>
      <c r="GY905" s="4"/>
      <c r="GZ905" s="4"/>
      <c r="HA905" s="4"/>
      <c r="IU905" s="162">
        <f>127.04*1.04</f>
        <v>132.12</v>
      </c>
      <c r="IV905" s="198">
        <f>132.12*1.045</f>
        <v>138.07</v>
      </c>
    </row>
    <row r="906" spans="1:256" ht="15.75" x14ac:dyDescent="0.2">
      <c r="A906" s="201" t="s">
        <v>688</v>
      </c>
      <c r="B906" s="285" t="s">
        <v>1097</v>
      </c>
      <c r="C906" s="197" t="s">
        <v>1091</v>
      </c>
      <c r="D906" s="295">
        <f>124.62*1.05</f>
        <v>130.85</v>
      </c>
      <c r="E906" s="16">
        <f>D906*20%</f>
        <v>26.17</v>
      </c>
      <c r="F906" s="164">
        <f>D906+E906</f>
        <v>157.02000000000001</v>
      </c>
      <c r="EH906" s="3"/>
      <c r="GS906" s="3"/>
      <c r="GT906" s="4"/>
      <c r="GU906" s="4"/>
      <c r="GV906" s="4"/>
      <c r="GW906" s="4"/>
      <c r="GX906" s="4"/>
      <c r="GY906" s="4"/>
      <c r="GZ906" s="4"/>
      <c r="HA906" s="4"/>
      <c r="IU906" s="162">
        <f>114.66*1.04</f>
        <v>119.25</v>
      </c>
      <c r="IV906" s="198">
        <f>119.25*1.045</f>
        <v>124.62</v>
      </c>
    </row>
    <row r="907" spans="1:256" ht="31.5" x14ac:dyDescent="0.25">
      <c r="A907" s="196" t="s">
        <v>36</v>
      </c>
      <c r="B907" s="203" t="s">
        <v>1102</v>
      </c>
      <c r="C907" s="197" t="s">
        <v>1091</v>
      </c>
      <c r="D907" s="295">
        <f>129.21*1.05</f>
        <v>135.66999999999999</v>
      </c>
      <c r="E907" s="16">
        <f>D907*20%</f>
        <v>27.13</v>
      </c>
      <c r="F907" s="164">
        <f>D907+E907</f>
        <v>162.80000000000001</v>
      </c>
      <c r="EH907" s="3" t="s">
        <v>1092</v>
      </c>
      <c r="GS907" s="3"/>
      <c r="GT907" s="4"/>
      <c r="GU907" s="4"/>
      <c r="GV907" s="4"/>
      <c r="GW907" s="4"/>
      <c r="GX907" s="4"/>
      <c r="GY907" s="4"/>
      <c r="GZ907" s="4"/>
      <c r="HA907" s="4"/>
    </row>
    <row r="908" spans="1:256" s="204" customFormat="1" ht="35.25" customHeight="1" x14ac:dyDescent="0.2">
      <c r="A908" s="196" t="s">
        <v>38</v>
      </c>
      <c r="B908" s="279" t="s">
        <v>1103</v>
      </c>
      <c r="C908" s="197" t="s">
        <v>1091</v>
      </c>
      <c r="D908" s="295">
        <f>106.35*1.05</f>
        <v>111.67</v>
      </c>
      <c r="E908" s="16">
        <f>D908*20%</f>
        <v>22.33</v>
      </c>
      <c r="F908" s="164">
        <f>D908+E908</f>
        <v>134</v>
      </c>
      <c r="G908" s="3"/>
      <c r="EH908" s="205"/>
      <c r="GS908" s="205"/>
      <c r="GT908" s="206"/>
      <c r="GU908" s="206"/>
      <c r="GV908" s="206"/>
      <c r="GW908" s="206"/>
      <c r="GX908" s="206"/>
      <c r="GY908" s="206"/>
      <c r="GZ908" s="206"/>
      <c r="HA908" s="206"/>
    </row>
    <row r="909" spans="1:256" ht="15.75" x14ac:dyDescent="0.2">
      <c r="A909" s="196" t="s">
        <v>41</v>
      </c>
      <c r="B909" s="313" t="s">
        <v>1104</v>
      </c>
      <c r="C909" s="313"/>
      <c r="D909" s="313"/>
      <c r="E909" s="313"/>
      <c r="F909" s="313"/>
      <c r="EH909" s="3"/>
      <c r="GS909" s="3"/>
      <c r="GT909" s="4"/>
      <c r="GU909" s="4"/>
      <c r="GV909" s="4"/>
      <c r="GW909" s="4"/>
      <c r="GX909" s="4"/>
      <c r="GY909" s="4"/>
      <c r="GZ909" s="4"/>
      <c r="HA909" s="4"/>
    </row>
    <row r="910" spans="1:256" ht="15.75" x14ac:dyDescent="0.25">
      <c r="A910" s="201" t="s">
        <v>734</v>
      </c>
      <c r="B910" s="200" t="s">
        <v>1083</v>
      </c>
      <c r="C910" s="197" t="s">
        <v>1091</v>
      </c>
      <c r="D910" s="295">
        <f>15.14*1.05</f>
        <v>15.9</v>
      </c>
      <c r="E910" s="16">
        <f>D910*20%</f>
        <v>3.18</v>
      </c>
      <c r="F910" s="164">
        <f>D910+E910</f>
        <v>19.079999999999998</v>
      </c>
      <c r="EH910" s="3"/>
      <c r="GS910" s="3"/>
      <c r="GT910" s="4"/>
      <c r="GU910" s="4"/>
      <c r="GV910" s="4"/>
      <c r="GW910" s="4"/>
      <c r="GX910" s="4"/>
      <c r="GY910" s="4"/>
      <c r="GZ910" s="4"/>
      <c r="HA910" s="4"/>
      <c r="IU910" s="162">
        <f>13.93*1.04</f>
        <v>14.49</v>
      </c>
      <c r="IV910" s="198">
        <f>14.49*1.045</f>
        <v>15.14</v>
      </c>
    </row>
    <row r="911" spans="1:256" ht="15.75" x14ac:dyDescent="0.25">
      <c r="A911" s="201" t="s">
        <v>735</v>
      </c>
      <c r="B911" s="200" t="s">
        <v>1105</v>
      </c>
      <c r="C911" s="197" t="s">
        <v>1091</v>
      </c>
      <c r="D911" s="295">
        <f>29.44*1.05</f>
        <v>30.91</v>
      </c>
      <c r="E911" s="16">
        <f>D911*20%</f>
        <v>6.18</v>
      </c>
      <c r="F911" s="164">
        <f>D911+E911</f>
        <v>37.090000000000003</v>
      </c>
      <c r="EH911" s="3"/>
      <c r="GS911" s="3"/>
      <c r="GT911" s="4"/>
      <c r="GU911" s="4"/>
      <c r="GV911" s="4"/>
      <c r="GW911" s="4"/>
      <c r="GX911" s="4"/>
      <c r="GY911" s="4"/>
      <c r="GZ911" s="4"/>
      <c r="HA911" s="4"/>
      <c r="IU911" s="162">
        <f>27.09*1.04</f>
        <v>28.17</v>
      </c>
      <c r="IV911" s="198">
        <f>28.17*1.045</f>
        <v>29.44</v>
      </c>
    </row>
    <row r="912" spans="1:256" ht="15.75" x14ac:dyDescent="0.25">
      <c r="A912" s="201" t="s">
        <v>736</v>
      </c>
      <c r="B912" s="200" t="s">
        <v>1088</v>
      </c>
      <c r="C912" s="197" t="s">
        <v>1091</v>
      </c>
      <c r="D912" s="295">
        <f>30.04*1.05</f>
        <v>31.54</v>
      </c>
      <c r="E912" s="16">
        <f>D912*20%</f>
        <v>6.31</v>
      </c>
      <c r="F912" s="164">
        <f>D912+E912</f>
        <v>37.85</v>
      </c>
      <c r="EH912" s="3"/>
      <c r="GS912" s="3"/>
      <c r="GT912" s="4"/>
      <c r="GU912" s="4"/>
      <c r="GV912" s="4"/>
      <c r="GW912" s="4"/>
      <c r="GX912" s="4"/>
      <c r="GY912" s="4"/>
      <c r="GZ912" s="4"/>
      <c r="HA912" s="4"/>
      <c r="IU912" s="162">
        <f>27.64*1.04</f>
        <v>28.75</v>
      </c>
      <c r="IV912" s="198">
        <f>28.75*1.045</f>
        <v>30.04</v>
      </c>
    </row>
    <row r="913" spans="1:256" ht="15.75" x14ac:dyDescent="0.2">
      <c r="A913" s="196" t="s">
        <v>43</v>
      </c>
      <c r="B913" s="313" t="s">
        <v>1106</v>
      </c>
      <c r="C913" s="313"/>
      <c r="D913" s="313"/>
      <c r="E913" s="313"/>
      <c r="F913" s="313"/>
      <c r="EH913" s="3"/>
      <c r="GS913" s="3"/>
      <c r="GT913" s="4"/>
      <c r="GU913" s="4"/>
      <c r="GV913" s="4"/>
      <c r="GW913" s="4"/>
      <c r="GX913" s="4"/>
      <c r="GY913" s="4"/>
      <c r="GZ913" s="4"/>
      <c r="HA913" s="4"/>
    </row>
    <row r="914" spans="1:256" ht="15.75" x14ac:dyDescent="0.25">
      <c r="A914" s="201" t="s">
        <v>761</v>
      </c>
      <c r="B914" s="200" t="s">
        <v>1107</v>
      </c>
      <c r="C914" s="197" t="s">
        <v>1091</v>
      </c>
      <c r="D914" s="295">
        <f>601.87*1.05</f>
        <v>631.96</v>
      </c>
      <c r="E914" s="16">
        <f>D914*20%</f>
        <v>126.39</v>
      </c>
      <c r="F914" s="164">
        <f>D914+E914</f>
        <v>758.35</v>
      </c>
      <c r="EH914" s="3"/>
      <c r="GS914" s="3"/>
      <c r="GT914" s="4"/>
      <c r="GU914" s="4"/>
      <c r="GV914" s="4"/>
      <c r="GW914" s="4"/>
      <c r="GX914" s="4"/>
      <c r="GY914" s="4"/>
      <c r="GZ914" s="4"/>
      <c r="HA914" s="4"/>
      <c r="HM914">
        <v>710.2</v>
      </c>
      <c r="IT914">
        <f>HM914/1.18</f>
        <v>601.86440677966095</v>
      </c>
      <c r="IU914" s="162">
        <v>292.87</v>
      </c>
      <c r="IV914" s="198">
        <f>292.87*1.045</f>
        <v>306.05</v>
      </c>
    </row>
    <row r="915" spans="1:256" ht="15.75" x14ac:dyDescent="0.25">
      <c r="A915" s="201" t="s">
        <v>763</v>
      </c>
      <c r="B915" s="200" t="s">
        <v>1108</v>
      </c>
      <c r="C915" s="197" t="s">
        <v>1091</v>
      </c>
      <c r="D915" s="295">
        <f>528.3*1.05</f>
        <v>554.72</v>
      </c>
      <c r="E915" s="16">
        <f>D915*20%</f>
        <v>110.94</v>
      </c>
      <c r="F915" s="164">
        <f>D915+E915</f>
        <v>665.66</v>
      </c>
      <c r="EH915" s="3" t="s">
        <v>1092</v>
      </c>
      <c r="GS915" s="3"/>
      <c r="GT915" s="4"/>
      <c r="GU915" s="4"/>
      <c r="GV915" s="4"/>
      <c r="GW915" s="4"/>
      <c r="GX915" s="4"/>
      <c r="GY915" s="4"/>
      <c r="GZ915" s="4"/>
      <c r="HA915" s="4"/>
    </row>
    <row r="916" spans="1:256" ht="15.75" x14ac:dyDescent="0.25">
      <c r="A916" s="201" t="s">
        <v>765</v>
      </c>
      <c r="B916" s="200" t="s">
        <v>1109</v>
      </c>
      <c r="C916" s="197" t="s">
        <v>1091</v>
      </c>
      <c r="D916" s="295">
        <f>482.61*1.05</f>
        <v>506.74</v>
      </c>
      <c r="E916" s="16">
        <f>D916*20%</f>
        <v>101.35</v>
      </c>
      <c r="F916" s="164">
        <f>D916+E916</f>
        <v>608.09</v>
      </c>
      <c r="EH916" s="3"/>
      <c r="GS916" s="3"/>
      <c r="GT916" s="4"/>
      <c r="GU916" s="4"/>
      <c r="GV916" s="4"/>
      <c r="GW916" s="4"/>
      <c r="GX916" s="4"/>
      <c r="GY916" s="4"/>
      <c r="GZ916" s="4"/>
      <c r="HA916" s="4"/>
      <c r="IU916" s="162">
        <f>444.07*1.04</f>
        <v>461.83</v>
      </c>
      <c r="IV916" s="198">
        <f>461.83*1.045</f>
        <v>482.61</v>
      </c>
    </row>
    <row r="917" spans="1:256" ht="17.25" customHeight="1" x14ac:dyDescent="0.2">
      <c r="A917" s="207" t="s">
        <v>45</v>
      </c>
      <c r="B917" s="208" t="s">
        <v>1110</v>
      </c>
      <c r="C917" s="202"/>
      <c r="D917" s="202"/>
      <c r="E917" s="202"/>
      <c r="F917" s="202"/>
      <c r="EH917" s="3"/>
      <c r="GS917" s="3"/>
      <c r="GT917" s="4"/>
      <c r="GU917" s="4"/>
      <c r="GV917" s="4"/>
      <c r="GW917" s="4"/>
      <c r="GX917" s="4"/>
      <c r="GY917" s="4"/>
      <c r="GZ917" s="4"/>
      <c r="HA917" s="4"/>
    </row>
    <row r="918" spans="1:256" ht="15.75" x14ac:dyDescent="0.25">
      <c r="A918" s="201" t="s">
        <v>786</v>
      </c>
      <c r="B918" s="200" t="s">
        <v>1111</v>
      </c>
      <c r="C918" s="197" t="s">
        <v>1091</v>
      </c>
      <c r="D918" s="295">
        <f>32.65*1.05</f>
        <v>34.28</v>
      </c>
      <c r="E918" s="16">
        <f t="shared" ref="E918:E927" si="90">D918*20%</f>
        <v>6.86</v>
      </c>
      <c r="F918" s="164">
        <f>D918+E918</f>
        <v>41.14</v>
      </c>
      <c r="EH918" s="3" t="s">
        <v>1092</v>
      </c>
      <c r="GS918" s="3"/>
      <c r="GT918" s="4"/>
      <c r="GU918" s="4"/>
      <c r="GV918" s="4"/>
      <c r="GW918" s="4"/>
      <c r="GX918" s="4"/>
      <c r="GY918" s="4"/>
      <c r="GZ918" s="4"/>
      <c r="HA918" s="4"/>
      <c r="HM918">
        <v>38.53</v>
      </c>
      <c r="IT918" s="209">
        <f>HM918/1.18</f>
        <v>32.65</v>
      </c>
      <c r="IU918" s="162">
        <f>15.91*1.04</f>
        <v>16.55</v>
      </c>
      <c r="IV918" s="198">
        <f>16.55*1.045</f>
        <v>17.29</v>
      </c>
    </row>
    <row r="919" spans="1:256" ht="15.75" x14ac:dyDescent="0.25">
      <c r="A919" s="201" t="s">
        <v>788</v>
      </c>
      <c r="B919" s="200" t="s">
        <v>1112</v>
      </c>
      <c r="C919" s="197" t="s">
        <v>1091</v>
      </c>
      <c r="D919" s="295">
        <f>34.05*1.05</f>
        <v>35.75</v>
      </c>
      <c r="E919" s="16">
        <f t="shared" si="90"/>
        <v>7.15</v>
      </c>
      <c r="F919" s="164">
        <f>D919+E919</f>
        <v>42.9</v>
      </c>
      <c r="EH919" s="3"/>
      <c r="GS919" s="3"/>
      <c r="GT919" s="4"/>
      <c r="GU919" s="4"/>
      <c r="GV919" s="4"/>
      <c r="GW919" s="4"/>
      <c r="GX919" s="4"/>
      <c r="GY919" s="4"/>
      <c r="GZ919" s="4"/>
      <c r="HA919" s="4"/>
      <c r="HM919">
        <v>40.18</v>
      </c>
      <c r="IT919" s="209">
        <f>HM919/1.18</f>
        <v>34.049999999999997</v>
      </c>
      <c r="IU919" s="162">
        <f>3.4*1.04</f>
        <v>3.54</v>
      </c>
      <c r="IV919" s="198">
        <f>3.54*1.045</f>
        <v>3.7</v>
      </c>
    </row>
    <row r="920" spans="1:256" ht="15.75" x14ac:dyDescent="0.25">
      <c r="A920" s="201" t="s">
        <v>790</v>
      </c>
      <c r="B920" s="200" t="s">
        <v>1113</v>
      </c>
      <c r="C920" s="197" t="s">
        <v>1091</v>
      </c>
      <c r="D920" s="295">
        <f>173.23*1.05</f>
        <v>181.89</v>
      </c>
      <c r="E920" s="16">
        <f t="shared" si="90"/>
        <v>36.380000000000003</v>
      </c>
      <c r="F920" s="164">
        <f t="shared" ref="F920:F926" si="91">D920+E920</f>
        <v>218.27</v>
      </c>
      <c r="EH920" s="3"/>
      <c r="GS920" s="3"/>
      <c r="GT920" s="4"/>
      <c r="GU920" s="4"/>
      <c r="GV920" s="4"/>
      <c r="GW920" s="4"/>
      <c r="GX920" s="4"/>
      <c r="GY920" s="4"/>
      <c r="GZ920" s="4"/>
      <c r="HA920" s="4"/>
      <c r="HM920">
        <v>204.41</v>
      </c>
      <c r="IT920" s="209">
        <f>HM920/1.18</f>
        <v>173.23</v>
      </c>
      <c r="IU920" s="162">
        <f>85.08*1.04</f>
        <v>88.48</v>
      </c>
      <c r="IV920" s="198">
        <f>88.48*1.045</f>
        <v>92.46</v>
      </c>
    </row>
    <row r="921" spans="1:256" ht="15.75" x14ac:dyDescent="0.25">
      <c r="A921" s="201" t="s">
        <v>792</v>
      </c>
      <c r="B921" s="200" t="s">
        <v>1114</v>
      </c>
      <c r="C921" s="197" t="s">
        <v>1091</v>
      </c>
      <c r="D921" s="295">
        <f>127.2*1.05</f>
        <v>133.56</v>
      </c>
      <c r="E921" s="16">
        <f t="shared" si="90"/>
        <v>26.71</v>
      </c>
      <c r="F921" s="164">
        <f>D921+E921</f>
        <v>160.27000000000001</v>
      </c>
      <c r="EH921" s="3"/>
      <c r="GS921" s="3"/>
      <c r="GT921" s="4"/>
      <c r="GU921" s="4"/>
      <c r="GV921" s="4"/>
      <c r="GW921" s="4"/>
      <c r="GX921" s="4"/>
      <c r="GY921" s="4"/>
      <c r="GZ921" s="4"/>
      <c r="HA921" s="4"/>
      <c r="HM921">
        <v>150.1</v>
      </c>
      <c r="IT921" s="209">
        <f>HM921/1.18</f>
        <v>127.2</v>
      </c>
      <c r="IU921" s="162">
        <f>13.93*1.04</f>
        <v>14.49</v>
      </c>
      <c r="IV921" s="198">
        <f>14.49*1.045</f>
        <v>15.14</v>
      </c>
    </row>
    <row r="922" spans="1:256" ht="15.75" x14ac:dyDescent="0.2">
      <c r="A922" s="201" t="s">
        <v>794</v>
      </c>
      <c r="B922" s="285" t="s">
        <v>1115</v>
      </c>
      <c r="C922" s="197" t="s">
        <v>1091</v>
      </c>
      <c r="D922" s="295">
        <f>241.42*1.05</f>
        <v>253.49</v>
      </c>
      <c r="E922" s="16">
        <f t="shared" si="90"/>
        <v>50.7</v>
      </c>
      <c r="F922" s="164">
        <f t="shared" si="91"/>
        <v>304.19</v>
      </c>
      <c r="EH922" s="3" t="s">
        <v>1092</v>
      </c>
      <c r="GS922" s="3"/>
      <c r="GT922" s="4"/>
      <c r="GU922" s="4"/>
      <c r="GV922" s="4"/>
      <c r="GW922" s="4"/>
      <c r="GX922" s="4"/>
      <c r="GY922" s="4"/>
      <c r="GZ922" s="4"/>
      <c r="HA922" s="4"/>
    </row>
    <row r="923" spans="1:256" ht="31.5" x14ac:dyDescent="0.25">
      <c r="A923" s="201" t="s">
        <v>796</v>
      </c>
      <c r="B923" s="200" t="s">
        <v>1116</v>
      </c>
      <c r="C923" s="197" t="s">
        <v>1091</v>
      </c>
      <c r="D923" s="295">
        <f>159.66*1.05</f>
        <v>167.64</v>
      </c>
      <c r="E923" s="16">
        <f t="shared" si="90"/>
        <v>33.53</v>
      </c>
      <c r="F923" s="164">
        <f t="shared" si="91"/>
        <v>201.17</v>
      </c>
      <c r="EH923" s="3"/>
      <c r="GS923" s="3"/>
      <c r="GT923" s="4"/>
      <c r="GU923" s="4"/>
      <c r="GV923" s="4"/>
      <c r="GW923" s="4"/>
      <c r="GX923" s="4"/>
      <c r="GY923" s="4"/>
      <c r="GZ923" s="4"/>
      <c r="HA923" s="4"/>
      <c r="HM923">
        <v>188.4</v>
      </c>
      <c r="IT923" s="210">
        <f>HM923/1.18</f>
        <v>159.66</v>
      </c>
      <c r="IU923" s="162">
        <f>89.96*1.04</f>
        <v>93.56</v>
      </c>
      <c r="IV923" s="198">
        <f>93.56*1.045</f>
        <v>97.77</v>
      </c>
    </row>
    <row r="924" spans="1:256" ht="15.75" x14ac:dyDescent="0.25">
      <c r="A924" s="201" t="s">
        <v>797</v>
      </c>
      <c r="B924" s="200" t="s">
        <v>1117</v>
      </c>
      <c r="C924" s="197" t="s">
        <v>1091</v>
      </c>
      <c r="D924" s="295">
        <f>115.44*1.05</f>
        <v>121.21</v>
      </c>
      <c r="E924" s="16">
        <f t="shared" si="90"/>
        <v>24.24</v>
      </c>
      <c r="F924" s="164">
        <f t="shared" si="91"/>
        <v>145.44999999999999</v>
      </c>
      <c r="EH924" s="3"/>
      <c r="GS924" s="3"/>
      <c r="GT924" s="4"/>
      <c r="GU924" s="4"/>
      <c r="GV924" s="4"/>
      <c r="GW924" s="4"/>
      <c r="GX924" s="4"/>
      <c r="GY924" s="4"/>
      <c r="GZ924" s="4"/>
      <c r="HA924" s="4"/>
    </row>
    <row r="925" spans="1:256" ht="15.75" x14ac:dyDescent="0.25">
      <c r="A925" s="201" t="s">
        <v>799</v>
      </c>
      <c r="B925" s="200" t="s">
        <v>1118</v>
      </c>
      <c r="C925" s="197" t="s">
        <v>1091</v>
      </c>
      <c r="D925" s="295">
        <f>45.87*1.05</f>
        <v>48.16</v>
      </c>
      <c r="E925" s="16">
        <f t="shared" si="90"/>
        <v>9.6300000000000008</v>
      </c>
      <c r="F925" s="164">
        <f>D925+E925</f>
        <v>57.79</v>
      </c>
      <c r="EH925" s="3"/>
      <c r="GS925" s="3"/>
      <c r="GT925" s="4"/>
      <c r="GU925" s="4"/>
      <c r="GV925" s="4"/>
      <c r="GW925" s="4"/>
      <c r="GX925" s="4"/>
      <c r="GY925" s="4"/>
      <c r="GZ925" s="4"/>
      <c r="HA925" s="4"/>
    </row>
    <row r="926" spans="1:256" ht="31.5" x14ac:dyDescent="0.25">
      <c r="A926" s="201" t="s">
        <v>801</v>
      </c>
      <c r="B926" s="200" t="s">
        <v>1119</v>
      </c>
      <c r="C926" s="197" t="s">
        <v>1091</v>
      </c>
      <c r="D926" s="295">
        <f>67.08*1.05</f>
        <v>70.430000000000007</v>
      </c>
      <c r="E926" s="16">
        <f t="shared" si="90"/>
        <v>14.09</v>
      </c>
      <c r="F926" s="164">
        <f t="shared" si="91"/>
        <v>84.52</v>
      </c>
      <c r="EH926" s="3"/>
      <c r="GS926" s="3"/>
      <c r="GT926" s="4"/>
      <c r="GU926" s="4"/>
      <c r="GV926" s="4"/>
      <c r="GW926" s="4"/>
      <c r="GX926" s="4"/>
      <c r="GY926" s="4"/>
      <c r="GZ926" s="4"/>
      <c r="HA926" s="4"/>
      <c r="HM926">
        <v>79.150000000000006</v>
      </c>
      <c r="IT926">
        <f>HM926/1.18</f>
        <v>67.076271186440707</v>
      </c>
      <c r="IU926" s="162">
        <f>31.9*1.04</f>
        <v>33.18</v>
      </c>
      <c r="IV926" s="198">
        <f>33.18*1.045</f>
        <v>34.67</v>
      </c>
    </row>
    <row r="927" spans="1:256" ht="15.75" x14ac:dyDescent="0.25">
      <c r="A927" s="201" t="s">
        <v>803</v>
      </c>
      <c r="B927" s="200" t="s">
        <v>1120</v>
      </c>
      <c r="C927" s="197" t="s">
        <v>1091</v>
      </c>
      <c r="D927" s="295">
        <f>127.7*1.05</f>
        <v>134.09</v>
      </c>
      <c r="E927" s="16">
        <f t="shared" si="90"/>
        <v>26.82</v>
      </c>
      <c r="F927" s="164">
        <f>D927+E927</f>
        <v>160.91</v>
      </c>
      <c r="EH927" s="3"/>
      <c r="GS927" s="3"/>
      <c r="GT927" s="4"/>
      <c r="GU927" s="4"/>
      <c r="GV927" s="4"/>
      <c r="GW927" s="4"/>
      <c r="GX927" s="4"/>
      <c r="GY927" s="4"/>
      <c r="GZ927" s="4"/>
      <c r="HA927" s="4"/>
      <c r="HM927">
        <v>150.69</v>
      </c>
      <c r="IT927">
        <f>HM927/1.18</f>
        <v>127.703389830508</v>
      </c>
      <c r="IU927" s="162">
        <f>12.79*1.04</f>
        <v>13.3</v>
      </c>
      <c r="IV927" s="198">
        <f>13.3*1.045</f>
        <v>13.9</v>
      </c>
    </row>
    <row r="928" spans="1:256" ht="17.25" customHeight="1" x14ac:dyDescent="0.2">
      <c r="A928" s="196" t="s">
        <v>47</v>
      </c>
      <c r="B928" s="313" t="s">
        <v>1121</v>
      </c>
      <c r="C928" s="313"/>
      <c r="D928" s="313"/>
      <c r="E928" s="313"/>
      <c r="F928" s="313"/>
      <c r="EH928" s="3"/>
      <c r="GS928" s="3"/>
      <c r="GT928" s="4"/>
      <c r="GU928" s="4"/>
      <c r="GV928" s="4"/>
      <c r="GW928" s="4"/>
      <c r="GX928" s="4"/>
      <c r="GY928" s="4"/>
      <c r="GZ928" s="4"/>
      <c r="HA928" s="4"/>
    </row>
    <row r="929" spans="1:256" ht="15.75" x14ac:dyDescent="0.25">
      <c r="A929" s="201" t="s">
        <v>841</v>
      </c>
      <c r="B929" s="200" t="s">
        <v>1122</v>
      </c>
      <c r="C929" s="197" t="s">
        <v>1091</v>
      </c>
      <c r="D929" s="295">
        <f>35*1.05</f>
        <v>36.75</v>
      </c>
      <c r="E929" s="16">
        <f t="shared" ref="E929:E946" si="92">D929*20%</f>
        <v>7.35</v>
      </c>
      <c r="F929" s="164">
        <f t="shared" ref="F929:F946" si="93">D929+E929</f>
        <v>44.1</v>
      </c>
      <c r="EH929" s="3"/>
      <c r="GS929" s="3"/>
      <c r="GT929" s="4"/>
      <c r="GU929" s="4"/>
      <c r="GV929" s="4"/>
      <c r="GW929" s="4"/>
      <c r="GX929" s="4"/>
      <c r="GY929" s="4"/>
      <c r="GZ929" s="4"/>
      <c r="HA929" s="4"/>
      <c r="IU929" s="162">
        <f>32.2*1.04</f>
        <v>33.49</v>
      </c>
      <c r="IV929" s="198">
        <f>33.49*1.045</f>
        <v>35</v>
      </c>
    </row>
    <row r="930" spans="1:256" ht="36.75" customHeight="1" x14ac:dyDescent="0.25">
      <c r="A930" s="201" t="s">
        <v>843</v>
      </c>
      <c r="B930" s="200" t="s">
        <v>1123</v>
      </c>
      <c r="C930" s="197" t="s">
        <v>1091</v>
      </c>
      <c r="D930" s="295">
        <f>41.98*1.05</f>
        <v>44.08</v>
      </c>
      <c r="E930" s="16">
        <f t="shared" si="92"/>
        <v>8.82</v>
      </c>
      <c r="F930" s="164">
        <f>D930+E930</f>
        <v>52.9</v>
      </c>
      <c r="EH930" s="3"/>
      <c r="GS930" s="3"/>
      <c r="GT930" s="4"/>
      <c r="GU930" s="4"/>
      <c r="GV930" s="4"/>
      <c r="GW930" s="4"/>
      <c r="GX930" s="4"/>
      <c r="GY930" s="4"/>
      <c r="GZ930" s="4"/>
      <c r="HA930" s="4"/>
      <c r="HM930">
        <v>49.53</v>
      </c>
      <c r="IT930">
        <f>HM930/1.18</f>
        <v>41.9745762711864</v>
      </c>
      <c r="IU930" s="162">
        <f>15.91*1.04</f>
        <v>16.55</v>
      </c>
      <c r="IV930" s="198">
        <f>16.55*1.045</f>
        <v>17.29</v>
      </c>
    </row>
    <row r="931" spans="1:256" ht="47.25" x14ac:dyDescent="0.2">
      <c r="A931" s="196" t="s">
        <v>49</v>
      </c>
      <c r="B931" s="279" t="s">
        <v>1124</v>
      </c>
      <c r="C931" s="197" t="s">
        <v>1091</v>
      </c>
      <c r="D931" s="295">
        <f>321.63*1.05</f>
        <v>337.71</v>
      </c>
      <c r="E931" s="16">
        <f t="shared" si="92"/>
        <v>67.540000000000006</v>
      </c>
      <c r="F931" s="164">
        <f t="shared" si="93"/>
        <v>405.25</v>
      </c>
      <c r="EH931" s="3" t="s">
        <v>1092</v>
      </c>
      <c r="GS931" s="3"/>
      <c r="GT931" s="4"/>
      <c r="GU931" s="4"/>
      <c r="GV931" s="4"/>
      <c r="GW931" s="4"/>
      <c r="GX931" s="4"/>
      <c r="GY931" s="4"/>
      <c r="GZ931" s="4"/>
      <c r="HA931" s="4"/>
    </row>
    <row r="932" spans="1:256" ht="36.75" customHeight="1" x14ac:dyDescent="0.2">
      <c r="A932" s="196" t="s">
        <v>51</v>
      </c>
      <c r="B932" s="279" t="s">
        <v>1125</v>
      </c>
      <c r="C932" s="197" t="s">
        <v>1091</v>
      </c>
      <c r="D932" s="295">
        <f>253.97*1.05</f>
        <v>266.67</v>
      </c>
      <c r="E932" s="16">
        <f>D932*20%</f>
        <v>53.33</v>
      </c>
      <c r="F932" s="164">
        <f>D932+E932</f>
        <v>320</v>
      </c>
      <c r="EH932" s="3"/>
      <c r="GS932" s="3"/>
      <c r="GT932" s="4"/>
      <c r="GU932" s="4"/>
      <c r="GV932" s="4"/>
      <c r="GW932" s="4"/>
      <c r="GX932" s="4"/>
      <c r="GY932" s="4"/>
      <c r="GZ932" s="4"/>
      <c r="HA932" s="4"/>
    </row>
    <row r="933" spans="1:256" ht="44.25" customHeight="1" x14ac:dyDescent="0.2">
      <c r="A933" s="196" t="s">
        <v>53</v>
      </c>
      <c r="B933" s="279" t="s">
        <v>1126</v>
      </c>
      <c r="C933" s="197" t="s">
        <v>1091</v>
      </c>
      <c r="D933" s="295">
        <f>108.58*1.05</f>
        <v>114.01</v>
      </c>
      <c r="E933" s="16">
        <f t="shared" si="92"/>
        <v>22.8</v>
      </c>
      <c r="F933" s="164">
        <f t="shared" si="93"/>
        <v>136.81</v>
      </c>
      <c r="EH933" s="3"/>
      <c r="GS933" s="3"/>
      <c r="GT933" s="4"/>
      <c r="GU933" s="4"/>
      <c r="GV933" s="4"/>
      <c r="GW933" s="4"/>
      <c r="GX933" s="4"/>
      <c r="GY933" s="4"/>
      <c r="GZ933" s="4"/>
      <c r="HA933" s="4"/>
      <c r="IU933" s="162">
        <f>99.9*1.04</f>
        <v>103.9</v>
      </c>
      <c r="IV933" s="198">
        <f>103.9*1.045</f>
        <v>108.58</v>
      </c>
    </row>
    <row r="934" spans="1:256" ht="36" customHeight="1" x14ac:dyDescent="0.2">
      <c r="A934" s="196" t="s">
        <v>55</v>
      </c>
      <c r="B934" s="279" t="s">
        <v>1127</v>
      </c>
      <c r="C934" s="197" t="s">
        <v>1091</v>
      </c>
      <c r="D934" s="295">
        <f>252.3*1.05</f>
        <v>264.92</v>
      </c>
      <c r="E934" s="16">
        <f t="shared" si="92"/>
        <v>52.98</v>
      </c>
      <c r="F934" s="164">
        <f>D934+E934</f>
        <v>317.89999999999998</v>
      </c>
      <c r="EH934" s="3" t="s">
        <v>1092</v>
      </c>
      <c r="GS934" s="3"/>
      <c r="GT934" s="4"/>
      <c r="GU934" s="4"/>
      <c r="GV934" s="4"/>
      <c r="GW934" s="4"/>
      <c r="GX934" s="4"/>
      <c r="GY934" s="4"/>
      <c r="GZ934" s="4"/>
      <c r="HA934" s="4"/>
    </row>
    <row r="935" spans="1:256" ht="52.5" customHeight="1" x14ac:dyDescent="0.2">
      <c r="A935" s="196" t="s">
        <v>57</v>
      </c>
      <c r="B935" s="279" t="s">
        <v>1128</v>
      </c>
      <c r="C935" s="197" t="s">
        <v>1091</v>
      </c>
      <c r="D935" s="295">
        <f>46.75*1.05</f>
        <v>49.09</v>
      </c>
      <c r="E935" s="16">
        <f t="shared" si="92"/>
        <v>9.82</v>
      </c>
      <c r="F935" s="164">
        <f t="shared" si="93"/>
        <v>58.91</v>
      </c>
      <c r="EH935" s="3"/>
      <c r="GS935" s="3"/>
      <c r="GT935" s="4"/>
      <c r="GU935" s="4"/>
      <c r="GV935" s="4"/>
      <c r="GW935" s="4"/>
      <c r="GX935" s="4"/>
      <c r="GY935" s="4"/>
      <c r="GZ935" s="4"/>
      <c r="HA935" s="4"/>
      <c r="IU935" s="162">
        <f>43.02*1.04</f>
        <v>44.74</v>
      </c>
      <c r="IV935" s="198">
        <f>44.74*1.045</f>
        <v>46.75</v>
      </c>
    </row>
    <row r="936" spans="1:256" ht="31.5" x14ac:dyDescent="0.2">
      <c r="A936" s="207" t="s">
        <v>59</v>
      </c>
      <c r="B936" s="279" t="s">
        <v>1129</v>
      </c>
      <c r="C936" s="197" t="s">
        <v>1091</v>
      </c>
      <c r="D936" s="295">
        <f>298.64*1.05</f>
        <v>313.57</v>
      </c>
      <c r="E936" s="16">
        <f t="shared" si="92"/>
        <v>62.71</v>
      </c>
      <c r="F936" s="164">
        <f t="shared" si="93"/>
        <v>376.28</v>
      </c>
      <c r="EH936" s="3"/>
      <c r="GS936" s="3"/>
      <c r="GT936" s="4"/>
      <c r="GU936" s="4"/>
      <c r="GV936" s="4"/>
      <c r="GW936" s="4"/>
      <c r="GX936" s="4"/>
      <c r="GY936" s="4"/>
      <c r="GZ936" s="4"/>
      <c r="HA936" s="4"/>
    </row>
    <row r="937" spans="1:256" ht="33.75" customHeight="1" x14ac:dyDescent="0.2">
      <c r="A937" s="207" t="s">
        <v>61</v>
      </c>
      <c r="B937" s="279" t="s">
        <v>1130</v>
      </c>
      <c r="C937" s="197" t="s">
        <v>1091</v>
      </c>
      <c r="D937" s="295">
        <f>59.2*1.05</f>
        <v>62.16</v>
      </c>
      <c r="E937" s="16">
        <f t="shared" si="92"/>
        <v>12.43</v>
      </c>
      <c r="F937" s="164">
        <f t="shared" si="93"/>
        <v>74.59</v>
      </c>
      <c r="EH937" s="3"/>
      <c r="GS937" s="3"/>
      <c r="GT937" s="4"/>
      <c r="GU937" s="4"/>
      <c r="GV937" s="4"/>
      <c r="GW937" s="4"/>
      <c r="GX937" s="4"/>
      <c r="GY937" s="4"/>
      <c r="GZ937" s="4"/>
      <c r="HA937" s="4"/>
      <c r="HM937">
        <v>69.849999999999994</v>
      </c>
      <c r="IT937">
        <f>HM937/1.18</f>
        <v>59.194915254237301</v>
      </c>
      <c r="IU937" s="162">
        <f>32.47*1.04</f>
        <v>33.770000000000003</v>
      </c>
      <c r="IV937" s="198">
        <f>33.77*1.045</f>
        <v>35.29</v>
      </c>
    </row>
    <row r="938" spans="1:256" ht="31.5" x14ac:dyDescent="0.2">
      <c r="A938" s="207" t="s">
        <v>63</v>
      </c>
      <c r="B938" s="279" t="s">
        <v>1131</v>
      </c>
      <c r="C938" s="197" t="s">
        <v>1091</v>
      </c>
      <c r="D938" s="295">
        <f>76.35*1.05</f>
        <v>80.17</v>
      </c>
      <c r="E938" s="16">
        <f t="shared" si="92"/>
        <v>16.03</v>
      </c>
      <c r="F938" s="164">
        <f t="shared" si="93"/>
        <v>96.2</v>
      </c>
      <c r="EH938" s="3"/>
      <c r="GS938" s="3"/>
      <c r="GT938" s="4"/>
      <c r="GU938" s="4"/>
      <c r="GV938" s="4"/>
      <c r="GW938" s="4"/>
      <c r="GX938" s="4"/>
      <c r="GY938" s="4"/>
      <c r="GZ938" s="4"/>
      <c r="HA938" s="4"/>
      <c r="IU938" s="162">
        <f>70.25*1.04</f>
        <v>73.06</v>
      </c>
      <c r="IV938" s="198">
        <f>73.06*1.045</f>
        <v>76.349999999999994</v>
      </c>
    </row>
    <row r="939" spans="1:256" ht="34.5" customHeight="1" x14ac:dyDescent="0.2">
      <c r="A939" s="207" t="s">
        <v>65</v>
      </c>
      <c r="B939" s="279" t="s">
        <v>1132</v>
      </c>
      <c r="C939" s="197" t="s">
        <v>1091</v>
      </c>
      <c r="D939" s="295">
        <f>41.07*1.05</f>
        <v>43.12</v>
      </c>
      <c r="E939" s="16">
        <f t="shared" si="92"/>
        <v>8.6199999999999992</v>
      </c>
      <c r="F939" s="164">
        <f>D939+E939</f>
        <v>51.74</v>
      </c>
      <c r="EH939" s="3"/>
      <c r="GS939" s="3"/>
      <c r="GT939" s="4"/>
      <c r="GU939" s="4"/>
      <c r="GV939" s="4"/>
      <c r="GW939" s="4"/>
      <c r="GX939" s="4"/>
      <c r="GY939" s="4"/>
      <c r="GZ939" s="4"/>
      <c r="HA939" s="4"/>
      <c r="IU939" s="162">
        <f>37.79*1.04</f>
        <v>39.299999999999997</v>
      </c>
      <c r="IV939" s="198">
        <f>39.3*1.045</f>
        <v>41.07</v>
      </c>
    </row>
    <row r="940" spans="1:256" ht="47.25" x14ac:dyDescent="0.2">
      <c r="A940" s="196" t="s">
        <v>68</v>
      </c>
      <c r="B940" s="279" t="s">
        <v>1133</v>
      </c>
      <c r="C940" s="197" t="s">
        <v>1091</v>
      </c>
      <c r="D940" s="295">
        <f>158.22*1.05</f>
        <v>166.13</v>
      </c>
      <c r="E940" s="16">
        <f t="shared" si="92"/>
        <v>33.229999999999997</v>
      </c>
      <c r="F940" s="164">
        <f>D940+E940</f>
        <v>199.36</v>
      </c>
      <c r="EH940" s="3"/>
      <c r="GS940" s="3"/>
      <c r="GT940" s="4"/>
      <c r="GU940" s="4"/>
      <c r="GV940" s="4"/>
      <c r="GW940" s="4"/>
      <c r="GX940" s="4"/>
      <c r="GY940" s="4"/>
      <c r="GZ940" s="4"/>
      <c r="HA940" s="4"/>
      <c r="IU940" s="162">
        <f>145.59*1.04</f>
        <v>151.41</v>
      </c>
      <c r="IV940" s="198">
        <f>151.41*1.045</f>
        <v>158.22</v>
      </c>
    </row>
    <row r="941" spans="1:256" ht="47.25" x14ac:dyDescent="0.2">
      <c r="A941" s="196" t="s">
        <v>70</v>
      </c>
      <c r="B941" s="279" t="s">
        <v>1134</v>
      </c>
      <c r="C941" s="197" t="s">
        <v>1091</v>
      </c>
      <c r="D941" s="295">
        <f>125.25*1.05</f>
        <v>131.51</v>
      </c>
      <c r="E941" s="16">
        <f t="shared" si="92"/>
        <v>26.3</v>
      </c>
      <c r="F941" s="164">
        <f t="shared" si="93"/>
        <v>157.81</v>
      </c>
      <c r="EH941" s="3"/>
      <c r="GS941" s="3"/>
      <c r="GT941" s="4"/>
      <c r="GU941" s="4"/>
      <c r="GV941" s="4"/>
      <c r="GW941" s="4"/>
      <c r="GX941" s="4"/>
      <c r="GY941" s="4"/>
      <c r="GZ941" s="4"/>
      <c r="HA941" s="4"/>
      <c r="IU941" s="162">
        <f>115.25*1.04</f>
        <v>119.86</v>
      </c>
      <c r="IV941" s="198">
        <f>119.86*1.045</f>
        <v>125.25</v>
      </c>
    </row>
    <row r="942" spans="1:256" ht="31.5" x14ac:dyDescent="0.2">
      <c r="A942" s="196" t="s">
        <v>72</v>
      </c>
      <c r="B942" s="279" t="s">
        <v>1135</v>
      </c>
      <c r="C942" s="197" t="s">
        <v>1091</v>
      </c>
      <c r="D942" s="295">
        <f>99.11*1.05</f>
        <v>104.07</v>
      </c>
      <c r="E942" s="16">
        <f t="shared" si="92"/>
        <v>20.81</v>
      </c>
      <c r="F942" s="164">
        <f t="shared" si="93"/>
        <v>124.88</v>
      </c>
      <c r="EH942" s="3"/>
      <c r="GS942" s="3"/>
      <c r="GT942" s="4"/>
      <c r="GU942" s="4"/>
      <c r="GV942" s="4"/>
      <c r="GW942" s="4"/>
      <c r="GX942" s="4"/>
      <c r="GY942" s="4"/>
      <c r="GZ942" s="4"/>
      <c r="HA942" s="4"/>
      <c r="IU942" s="162">
        <f>91.19*1.04</f>
        <v>94.84</v>
      </c>
      <c r="IV942" s="198">
        <f>94.84*1.045</f>
        <v>99.11</v>
      </c>
    </row>
    <row r="943" spans="1:256" ht="40.5" customHeight="1" x14ac:dyDescent="0.2">
      <c r="A943" s="196" t="s">
        <v>74</v>
      </c>
      <c r="B943" s="279" t="s">
        <v>1136</v>
      </c>
      <c r="C943" s="197" t="s">
        <v>1091</v>
      </c>
      <c r="D943" s="295">
        <f>92.48*1.05</f>
        <v>97.1</v>
      </c>
      <c r="E943" s="16">
        <f t="shared" si="92"/>
        <v>19.420000000000002</v>
      </c>
      <c r="F943" s="164">
        <f t="shared" si="93"/>
        <v>116.52</v>
      </c>
      <c r="EH943" s="3"/>
      <c r="GS943" s="3"/>
      <c r="GT943" s="4"/>
      <c r="GU943" s="4"/>
      <c r="GV943" s="4"/>
      <c r="GW943" s="4"/>
      <c r="GX943" s="4"/>
      <c r="GY943" s="4"/>
      <c r="GZ943" s="4"/>
      <c r="HA943" s="4"/>
    </row>
    <row r="944" spans="1:256" ht="34.5" customHeight="1" x14ac:dyDescent="0.2">
      <c r="A944" s="196" t="s">
        <v>76</v>
      </c>
      <c r="B944" s="279" t="s">
        <v>1137</v>
      </c>
      <c r="C944" s="197" t="s">
        <v>1091</v>
      </c>
      <c r="D944" s="295">
        <f>48.68*1.05</f>
        <v>51.11</v>
      </c>
      <c r="E944" s="16">
        <f t="shared" si="92"/>
        <v>10.220000000000001</v>
      </c>
      <c r="F944" s="164">
        <f>D944+E944</f>
        <v>61.33</v>
      </c>
      <c r="EH944" s="3"/>
      <c r="GS944" s="3"/>
      <c r="GT944" s="4"/>
      <c r="GU944" s="4"/>
      <c r="GV944" s="4"/>
      <c r="GW944" s="4"/>
      <c r="GX944" s="4"/>
      <c r="GY944" s="4"/>
      <c r="GZ944" s="4"/>
      <c r="HA944" s="4"/>
    </row>
    <row r="945" spans="1:256" ht="39.75" customHeight="1" x14ac:dyDescent="0.2">
      <c r="A945" s="207" t="s">
        <v>78</v>
      </c>
      <c r="B945" s="279" t="s">
        <v>1138</v>
      </c>
      <c r="C945" s="197" t="s">
        <v>1091</v>
      </c>
      <c r="D945" s="295">
        <f>48.68*1.05</f>
        <v>51.11</v>
      </c>
      <c r="E945" s="16">
        <f t="shared" si="92"/>
        <v>10.220000000000001</v>
      </c>
      <c r="F945" s="164">
        <f>D945+E945</f>
        <v>61.33</v>
      </c>
      <c r="EH945" s="3"/>
      <c r="GS945" s="3"/>
      <c r="GT945" s="4"/>
      <c r="GU945" s="4"/>
      <c r="GV945" s="4"/>
      <c r="GW945" s="4"/>
      <c r="GX945" s="4"/>
      <c r="GY945" s="4"/>
      <c r="GZ945" s="4"/>
      <c r="HA945" s="4"/>
    </row>
    <row r="946" spans="1:256" ht="66" customHeight="1" x14ac:dyDescent="0.2">
      <c r="A946" s="196" t="s">
        <v>80</v>
      </c>
      <c r="B946" s="279" t="s">
        <v>1139</v>
      </c>
      <c r="C946" s="197" t="s">
        <v>1091</v>
      </c>
      <c r="D946" s="295">
        <f>387.39*1.05</f>
        <v>406.76</v>
      </c>
      <c r="E946" s="16">
        <f t="shared" si="92"/>
        <v>81.349999999999994</v>
      </c>
      <c r="F946" s="164">
        <f t="shared" si="93"/>
        <v>488.11</v>
      </c>
      <c r="EH946" s="3"/>
      <c r="GS946" s="3"/>
      <c r="GT946" s="4"/>
      <c r="GU946" s="4"/>
      <c r="GV946" s="4"/>
      <c r="GW946" s="4"/>
      <c r="GX946" s="4"/>
      <c r="GY946" s="4"/>
      <c r="GZ946" s="4"/>
      <c r="HA946" s="4"/>
    </row>
    <row r="947" spans="1:256" ht="20.25" customHeight="1" x14ac:dyDescent="0.2">
      <c r="A947" s="196" t="s">
        <v>82</v>
      </c>
      <c r="B947" s="313" t="s">
        <v>1140</v>
      </c>
      <c r="C947" s="313"/>
      <c r="D947" s="313"/>
      <c r="E947" s="313"/>
      <c r="F947" s="313"/>
      <c r="EH947" s="3"/>
      <c r="GS947" s="3"/>
      <c r="GT947" s="4"/>
      <c r="GU947" s="4"/>
      <c r="GV947" s="4"/>
      <c r="GW947" s="4"/>
      <c r="GX947" s="4"/>
      <c r="GY947" s="4"/>
      <c r="GZ947" s="4"/>
      <c r="HA947" s="4"/>
    </row>
    <row r="948" spans="1:256" ht="19.5" customHeight="1" x14ac:dyDescent="0.2">
      <c r="A948" s="201" t="s">
        <v>1764</v>
      </c>
      <c r="B948" s="285" t="s">
        <v>1141</v>
      </c>
      <c r="C948" s="197" t="s">
        <v>1091</v>
      </c>
      <c r="D948" s="295">
        <f>85.41*1.05</f>
        <v>89.68</v>
      </c>
      <c r="E948" s="16">
        <f>D948*20%</f>
        <v>17.940000000000001</v>
      </c>
      <c r="F948" s="164">
        <f>D948+E948</f>
        <v>107.62</v>
      </c>
      <c r="EH948" s="3"/>
      <c r="GS948" s="3"/>
      <c r="GT948" s="4"/>
      <c r="GU948" s="4"/>
      <c r="GV948" s="4"/>
      <c r="GW948" s="4"/>
      <c r="GX948" s="4"/>
      <c r="GY948" s="4"/>
      <c r="GZ948" s="4"/>
      <c r="HA948" s="4"/>
      <c r="HM948">
        <v>100.78</v>
      </c>
      <c r="IT948">
        <f>HM948/1.18</f>
        <v>85.406779661016998</v>
      </c>
      <c r="IU948" s="162">
        <f>65.83*1.04</f>
        <v>68.459999999999994</v>
      </c>
      <c r="IV948" s="198">
        <f>68.46*1.045</f>
        <v>71.540000000000006</v>
      </c>
    </row>
    <row r="949" spans="1:256" ht="36" customHeight="1" x14ac:dyDescent="0.2">
      <c r="A949" s="201" t="s">
        <v>1765</v>
      </c>
      <c r="B949" s="285" t="s">
        <v>1142</v>
      </c>
      <c r="C949" s="197" t="s">
        <v>1091</v>
      </c>
      <c r="D949" s="295">
        <f>108.59*1.05</f>
        <v>114.02</v>
      </c>
      <c r="E949" s="16">
        <f>D949*20%</f>
        <v>22.8</v>
      </c>
      <c r="F949" s="164">
        <f>D949+E949</f>
        <v>136.82</v>
      </c>
      <c r="EH949" s="3"/>
      <c r="GS949" s="3"/>
      <c r="GT949" s="4"/>
      <c r="GU949" s="4"/>
      <c r="GV949" s="4"/>
      <c r="GW949" s="4"/>
      <c r="GX949" s="4"/>
      <c r="GY949" s="4"/>
      <c r="GZ949" s="4"/>
      <c r="HA949" s="4"/>
    </row>
    <row r="950" spans="1:256" ht="33.75" customHeight="1" x14ac:dyDescent="0.2">
      <c r="A950" s="196" t="s">
        <v>84</v>
      </c>
      <c r="B950" s="279" t="s">
        <v>1143</v>
      </c>
      <c r="C950" s="197" t="s">
        <v>1091</v>
      </c>
      <c r="D950" s="295">
        <f>114.07*1.05</f>
        <v>119.77</v>
      </c>
      <c r="E950" s="16">
        <f>D950*20%</f>
        <v>23.95</v>
      </c>
      <c r="F950" s="164">
        <f>D950+E950</f>
        <v>143.72</v>
      </c>
      <c r="EH950" s="3"/>
      <c r="GS950" s="3"/>
      <c r="GT950" s="4"/>
      <c r="GU950" s="4"/>
      <c r="GV950" s="4"/>
      <c r="GW950" s="4"/>
      <c r="GX950" s="4"/>
      <c r="GY950" s="4"/>
      <c r="GZ950" s="4"/>
      <c r="HA950" s="4"/>
      <c r="HM950">
        <v>134.6</v>
      </c>
      <c r="IT950">
        <f>HM950/1.18</f>
        <v>114.067796610169</v>
      </c>
      <c r="IU950" s="162">
        <f>97.46*1.04</f>
        <v>101.36</v>
      </c>
      <c r="IV950" s="198">
        <f>101.36*1.045</f>
        <v>105.92</v>
      </c>
    </row>
    <row r="951" spans="1:256" ht="15.75" x14ac:dyDescent="0.2">
      <c r="A951" s="196" t="s">
        <v>87</v>
      </c>
      <c r="B951" s="313" t="s">
        <v>1144</v>
      </c>
      <c r="C951" s="313"/>
      <c r="D951" s="313"/>
      <c r="E951" s="313"/>
      <c r="F951" s="313"/>
      <c r="EH951" s="3"/>
      <c r="GS951" s="3"/>
      <c r="GT951" s="4"/>
      <c r="GU951" s="4"/>
      <c r="GV951" s="4"/>
      <c r="GW951" s="4"/>
      <c r="GX951" s="4"/>
      <c r="GY951" s="4"/>
      <c r="GZ951" s="4"/>
      <c r="HA951" s="4"/>
    </row>
    <row r="952" spans="1:256" ht="15.75" x14ac:dyDescent="0.25">
      <c r="A952" s="201" t="s">
        <v>1766</v>
      </c>
      <c r="B952" s="200" t="s">
        <v>1145</v>
      </c>
      <c r="C952" s="197" t="s">
        <v>1091</v>
      </c>
      <c r="D952" s="295">
        <f>220.74*1.05</f>
        <v>231.78</v>
      </c>
      <c r="E952" s="16">
        <f>D952*20%</f>
        <v>46.36</v>
      </c>
      <c r="F952" s="164">
        <f>D952+E952</f>
        <v>278.14</v>
      </c>
      <c r="EH952" s="3" t="s">
        <v>1092</v>
      </c>
      <c r="GS952" s="3"/>
      <c r="GT952" s="4"/>
      <c r="GU952" s="4"/>
      <c r="GV952" s="4"/>
      <c r="GW952" s="4"/>
      <c r="GX952" s="4"/>
      <c r="GY952" s="4"/>
      <c r="GZ952" s="4"/>
      <c r="HA952" s="4"/>
    </row>
    <row r="953" spans="1:256" ht="15.75" x14ac:dyDescent="0.25">
      <c r="A953" s="201" t="s">
        <v>1767</v>
      </c>
      <c r="B953" s="200" t="s">
        <v>1146</v>
      </c>
      <c r="C953" s="197" t="s">
        <v>1091</v>
      </c>
      <c r="D953" s="295">
        <f>95.54*1.05</f>
        <v>100.32</v>
      </c>
      <c r="E953" s="16">
        <f>D953*20%</f>
        <v>20.059999999999999</v>
      </c>
      <c r="F953" s="164">
        <f>D953+E953</f>
        <v>120.38</v>
      </c>
      <c r="EH953" s="3"/>
      <c r="GS953" s="3"/>
      <c r="GT953" s="4"/>
      <c r="GU953" s="4"/>
      <c r="GV953" s="4"/>
      <c r="GW953" s="4"/>
      <c r="GX953" s="4"/>
      <c r="GY953" s="4"/>
      <c r="GZ953" s="4"/>
      <c r="HA953" s="4"/>
      <c r="HM953">
        <v>112.74</v>
      </c>
      <c r="IT953">
        <f>HM953/1.18</f>
        <v>95.542372881355902</v>
      </c>
      <c r="IU953" s="162">
        <f>52.75*1.04</f>
        <v>54.86</v>
      </c>
      <c r="IV953" s="198">
        <f>54.86*1.045</f>
        <v>57.33</v>
      </c>
    </row>
    <row r="954" spans="1:256" ht="33.75" customHeight="1" x14ac:dyDescent="0.2">
      <c r="A954" s="196" t="s">
        <v>88</v>
      </c>
      <c r="B954" s="279" t="s">
        <v>1147</v>
      </c>
      <c r="C954" s="197" t="s">
        <v>1091</v>
      </c>
      <c r="D954" s="295">
        <f>119.15*1.05</f>
        <v>125.11</v>
      </c>
      <c r="E954" s="16">
        <f>D954*20%</f>
        <v>25.02</v>
      </c>
      <c r="F954" s="164">
        <f>D954+E954</f>
        <v>150.13</v>
      </c>
      <c r="EH954" s="3"/>
      <c r="GS954" s="3"/>
      <c r="GT954" s="4"/>
      <c r="GU954" s="4"/>
      <c r="GV954" s="4"/>
      <c r="GW954" s="4"/>
      <c r="GX954" s="4"/>
      <c r="GY954" s="4"/>
      <c r="GZ954" s="4"/>
      <c r="HA954" s="4"/>
      <c r="HM954">
        <v>140.6</v>
      </c>
      <c r="IT954">
        <f>HM954/1.18</f>
        <v>119.152542372881</v>
      </c>
      <c r="IU954" s="162">
        <f>79.52*1.04</f>
        <v>82.7</v>
      </c>
      <c r="IV954" s="198">
        <f>82.7*1.045</f>
        <v>86.42</v>
      </c>
    </row>
    <row r="955" spans="1:256" ht="34.5" customHeight="1" x14ac:dyDescent="0.2">
      <c r="A955" s="196" t="s">
        <v>103</v>
      </c>
      <c r="B955" s="279" t="s">
        <v>1148</v>
      </c>
      <c r="C955" s="197" t="s">
        <v>1091</v>
      </c>
      <c r="D955" s="295">
        <f>175.79*1.05</f>
        <v>184.58</v>
      </c>
      <c r="E955" s="16">
        <f>D955*20%</f>
        <v>36.92</v>
      </c>
      <c r="F955" s="164">
        <f>D955+E955</f>
        <v>221.5</v>
      </c>
      <c r="EH955" s="3"/>
      <c r="GS955" s="3"/>
      <c r="GT955" s="4"/>
      <c r="GU955" s="4"/>
      <c r="GV955" s="4"/>
      <c r="GW955" s="4"/>
      <c r="GX955" s="4"/>
      <c r="GY955" s="4"/>
      <c r="GZ955" s="4"/>
      <c r="HA955" s="4"/>
      <c r="HM955">
        <v>207.43</v>
      </c>
      <c r="IT955">
        <f>HM955/1.18</f>
        <v>175.78813559322001</v>
      </c>
      <c r="IU955" s="162">
        <f>87.54*1.04</f>
        <v>91.04</v>
      </c>
      <c r="IV955" s="198">
        <f>91.04*1.045</f>
        <v>95.14</v>
      </c>
    </row>
    <row r="956" spans="1:256" ht="51.75" customHeight="1" x14ac:dyDescent="0.2">
      <c r="A956" s="196" t="s">
        <v>105</v>
      </c>
      <c r="B956" s="279" t="s">
        <v>1149</v>
      </c>
      <c r="C956" s="197" t="s">
        <v>1091</v>
      </c>
      <c r="D956" s="295">
        <f>301.13*1.05</f>
        <v>316.19</v>
      </c>
      <c r="E956" s="16">
        <f>D956*20%</f>
        <v>63.24</v>
      </c>
      <c r="F956" s="164">
        <f>D956+E956</f>
        <v>379.43</v>
      </c>
      <c r="EH956" s="3" t="s">
        <v>1092</v>
      </c>
      <c r="GS956" s="3"/>
      <c r="GT956" s="4"/>
      <c r="GU956" s="4"/>
      <c r="GV956" s="4"/>
      <c r="GW956" s="4"/>
      <c r="GX956" s="4"/>
      <c r="GY956" s="4"/>
      <c r="GZ956" s="4"/>
      <c r="HA956" s="4"/>
    </row>
    <row r="957" spans="1:256" ht="18" customHeight="1" x14ac:dyDescent="0.2">
      <c r="A957" s="196" t="s">
        <v>111</v>
      </c>
      <c r="B957" s="313" t="s">
        <v>1150</v>
      </c>
      <c r="C957" s="313"/>
      <c r="D957" s="313"/>
      <c r="E957" s="313"/>
      <c r="F957" s="313"/>
      <c r="EH957" s="3"/>
      <c r="GS957" s="3"/>
      <c r="GT957" s="4"/>
      <c r="GU957" s="4"/>
      <c r="GV957" s="4"/>
      <c r="GW957" s="4"/>
      <c r="GX957" s="4"/>
      <c r="GY957" s="4"/>
      <c r="GZ957" s="4"/>
      <c r="HA957" s="4"/>
    </row>
    <row r="958" spans="1:256" ht="15.75" x14ac:dyDescent="0.25">
      <c r="A958" s="201" t="s">
        <v>1768</v>
      </c>
      <c r="B958" s="200" t="s">
        <v>1151</v>
      </c>
      <c r="C958" s="197" t="s">
        <v>1091</v>
      </c>
      <c r="D958" s="295">
        <f>631.34*1.05</f>
        <v>662.91</v>
      </c>
      <c r="E958" s="16">
        <f>D958*20%</f>
        <v>132.58000000000001</v>
      </c>
      <c r="F958" s="164">
        <f>D958+E958</f>
        <v>795.49</v>
      </c>
      <c r="EH958" s="3" t="s">
        <v>1092</v>
      </c>
      <c r="GS958" s="3"/>
      <c r="GT958" s="4"/>
      <c r="GU958" s="4"/>
      <c r="GV958" s="4"/>
      <c r="GW958" s="4"/>
      <c r="GX958" s="4"/>
      <c r="GY958" s="4"/>
      <c r="GZ958" s="4"/>
      <c r="HA958" s="4"/>
    </row>
    <row r="959" spans="1:256" ht="15.75" x14ac:dyDescent="0.25">
      <c r="A959" s="201" t="s">
        <v>1769</v>
      </c>
      <c r="B959" s="200" t="s">
        <v>1152</v>
      </c>
      <c r="C959" s="197" t="s">
        <v>1091</v>
      </c>
      <c r="D959" s="295">
        <f>391.7*1.05</f>
        <v>411.29</v>
      </c>
      <c r="E959" s="16">
        <f>D959*20%</f>
        <v>82.26</v>
      </c>
      <c r="F959" s="164">
        <f>D959+E959</f>
        <v>493.55</v>
      </c>
      <c r="EH959" s="3"/>
      <c r="GS959" s="3"/>
      <c r="GT959" s="4"/>
      <c r="GU959" s="4"/>
      <c r="GV959" s="4"/>
      <c r="GW959" s="4"/>
      <c r="GX959" s="4"/>
      <c r="GY959" s="4"/>
      <c r="GZ959" s="4"/>
      <c r="HA959" s="4"/>
      <c r="HM959">
        <v>462.2</v>
      </c>
      <c r="IT959">
        <f>HM959/1.18</f>
        <v>391.694915254237</v>
      </c>
      <c r="IU959" s="162">
        <f>158.25*1.04</f>
        <v>164.58</v>
      </c>
      <c r="IV959" s="198">
        <f>164.58*1.045</f>
        <v>171.99</v>
      </c>
    </row>
    <row r="960" spans="1:256" s="204" customFormat="1" ht="62.25" customHeight="1" x14ac:dyDescent="0.2">
      <c r="A960" s="196" t="s">
        <v>114</v>
      </c>
      <c r="B960" s="211" t="s">
        <v>1153</v>
      </c>
      <c r="C960" s="197" t="s">
        <v>1091</v>
      </c>
      <c r="D960" s="295">
        <f>666.67*1.05</f>
        <v>700</v>
      </c>
      <c r="E960" s="16">
        <f>D960*20%</f>
        <v>140</v>
      </c>
      <c r="F960" s="164">
        <f>D960+E960</f>
        <v>840</v>
      </c>
      <c r="G960" s="3"/>
      <c r="EH960" s="205"/>
      <c r="GS960" s="205"/>
      <c r="GT960" s="206"/>
      <c r="GU960" s="206"/>
      <c r="GV960" s="206"/>
      <c r="GW960" s="206"/>
      <c r="GX960" s="206"/>
      <c r="GY960" s="206"/>
      <c r="GZ960" s="206"/>
      <c r="HA960" s="206"/>
      <c r="IU960" s="192"/>
      <c r="IV960" s="212"/>
    </row>
    <row r="961" spans="1:256" ht="19.5" customHeight="1" x14ac:dyDescent="0.2">
      <c r="A961" s="196" t="s">
        <v>1737</v>
      </c>
      <c r="B961" s="313" t="s">
        <v>1154</v>
      </c>
      <c r="C961" s="313"/>
      <c r="D961" s="313"/>
      <c r="E961" s="313"/>
      <c r="F961" s="313"/>
      <c r="EH961" s="3"/>
      <c r="GS961" s="3"/>
      <c r="GT961" s="4"/>
      <c r="GU961" s="4"/>
      <c r="GV961" s="4"/>
      <c r="GW961" s="4"/>
      <c r="GX961" s="4"/>
      <c r="GY961" s="4"/>
      <c r="GZ961" s="4"/>
      <c r="HA961" s="4"/>
    </row>
    <row r="962" spans="1:256" ht="15.75" x14ac:dyDescent="0.25">
      <c r="A962" s="201" t="s">
        <v>1759</v>
      </c>
      <c r="B962" s="200" t="s">
        <v>1151</v>
      </c>
      <c r="C962" s="197" t="s">
        <v>1091</v>
      </c>
      <c r="D962" s="295">
        <f>578.81*1.05</f>
        <v>607.75</v>
      </c>
      <c r="E962" s="16">
        <f>D962*20%</f>
        <v>121.55</v>
      </c>
      <c r="F962" s="164">
        <f>D962+E962</f>
        <v>729.3</v>
      </c>
      <c r="EH962" s="3" t="s">
        <v>1092</v>
      </c>
      <c r="GS962" s="3"/>
      <c r="GT962" s="4"/>
      <c r="GU962" s="4"/>
      <c r="GV962" s="4"/>
      <c r="GW962" s="4"/>
      <c r="GX962" s="4"/>
      <c r="GY962" s="4"/>
      <c r="GZ962" s="4"/>
      <c r="HA962" s="4"/>
    </row>
    <row r="963" spans="1:256" ht="15.75" x14ac:dyDescent="0.25">
      <c r="A963" s="201" t="s">
        <v>1770</v>
      </c>
      <c r="B963" s="200" t="s">
        <v>1152</v>
      </c>
      <c r="C963" s="197" t="s">
        <v>1091</v>
      </c>
      <c r="D963" s="295">
        <f>323.87*1.05</f>
        <v>340.06</v>
      </c>
      <c r="E963" s="16">
        <f>D963*20%</f>
        <v>68.010000000000005</v>
      </c>
      <c r="F963" s="164">
        <f>D963+E963</f>
        <v>408.07</v>
      </c>
      <c r="EH963" s="3"/>
      <c r="GS963" s="3"/>
      <c r="GT963" s="4"/>
      <c r="GU963" s="4"/>
      <c r="GV963" s="4"/>
      <c r="GW963" s="4"/>
      <c r="GX963" s="4"/>
      <c r="GY963" s="4"/>
      <c r="GZ963" s="4"/>
      <c r="HA963" s="4"/>
      <c r="HM963">
        <v>382.16</v>
      </c>
      <c r="IT963">
        <f>HM963/1.18</f>
        <v>323.86440677966101</v>
      </c>
      <c r="IU963" s="162">
        <f>148.44*1.04</f>
        <v>154.38</v>
      </c>
      <c r="IV963" s="198">
        <f>154.38*1.045</f>
        <v>161.33000000000001</v>
      </c>
    </row>
    <row r="964" spans="1:256" ht="47.25" customHeight="1" x14ac:dyDescent="0.2">
      <c r="A964" s="196" t="s">
        <v>1771</v>
      </c>
      <c r="B964" s="279" t="s">
        <v>1155</v>
      </c>
      <c r="C964" s="197" t="s">
        <v>1091</v>
      </c>
      <c r="D964" s="295">
        <f>114.62*1.05</f>
        <v>120.35</v>
      </c>
      <c r="E964" s="16">
        <f>D964*20%</f>
        <v>24.07</v>
      </c>
      <c r="F964" s="164">
        <f>D964+E964</f>
        <v>144.41999999999999</v>
      </c>
      <c r="EH964" s="3"/>
      <c r="GS964" s="3"/>
      <c r="GT964" s="4"/>
      <c r="GU964" s="4"/>
      <c r="GV964" s="4"/>
      <c r="GW964" s="4"/>
      <c r="GX964" s="4"/>
      <c r="GY964" s="4"/>
      <c r="GZ964" s="4"/>
      <c r="HA964" s="4"/>
      <c r="IU964" s="162">
        <f>105.46*1.04</f>
        <v>109.68</v>
      </c>
      <c r="IV964" s="198">
        <f>109.68*1.045</f>
        <v>114.62</v>
      </c>
    </row>
    <row r="965" spans="1:256" ht="15.75" x14ac:dyDescent="0.25">
      <c r="A965" s="196" t="s">
        <v>1772</v>
      </c>
      <c r="B965" s="203" t="s">
        <v>1156</v>
      </c>
      <c r="C965" s="197" t="s">
        <v>1091</v>
      </c>
      <c r="D965" s="295">
        <f>374.96*1.05</f>
        <v>393.71</v>
      </c>
      <c r="E965" s="16">
        <f>D965*20%</f>
        <v>78.739999999999995</v>
      </c>
      <c r="F965" s="164">
        <f>D965+E965</f>
        <v>472.45</v>
      </c>
      <c r="EH965" s="3"/>
      <c r="GS965" s="3"/>
      <c r="GT965" s="4"/>
      <c r="GU965" s="4"/>
      <c r="GV965" s="4"/>
      <c r="GW965" s="4"/>
      <c r="GX965" s="4"/>
      <c r="GY965" s="4"/>
      <c r="GZ965" s="4"/>
      <c r="HA965" s="4"/>
    </row>
    <row r="966" spans="1:256" ht="34.5" customHeight="1" x14ac:dyDescent="0.2">
      <c r="A966" s="196" t="s">
        <v>1773</v>
      </c>
      <c r="B966" s="279" t="s">
        <v>1157</v>
      </c>
      <c r="C966" s="197" t="s">
        <v>1091</v>
      </c>
      <c r="D966" s="295">
        <f>267*1.05</f>
        <v>280.35000000000002</v>
      </c>
      <c r="E966" s="16">
        <f>D966*20%</f>
        <v>56.07</v>
      </c>
      <c r="F966" s="164">
        <f>D966+E966</f>
        <v>336.42</v>
      </c>
      <c r="EH966" s="3"/>
      <c r="GS966" s="3"/>
      <c r="GT966" s="4"/>
      <c r="GU966" s="4"/>
      <c r="GV966" s="4"/>
      <c r="GW966" s="4"/>
      <c r="GX966" s="4"/>
      <c r="GY966" s="4"/>
      <c r="GZ966" s="4"/>
      <c r="HA966" s="4"/>
      <c r="HM966">
        <v>315.06</v>
      </c>
      <c r="IT966">
        <f>HM966/1.18</f>
        <v>267</v>
      </c>
      <c r="IU966" s="162">
        <f>93.76*1.04</f>
        <v>97.51</v>
      </c>
      <c r="IV966" s="198">
        <f>97.51*1.045</f>
        <v>101.9</v>
      </c>
    </row>
    <row r="967" spans="1:256" ht="15.75" x14ac:dyDescent="0.2">
      <c r="A967" s="196" t="s">
        <v>1774</v>
      </c>
      <c r="B967" s="313" t="s">
        <v>1158</v>
      </c>
      <c r="C967" s="313"/>
      <c r="D967" s="313"/>
      <c r="E967" s="313"/>
      <c r="F967" s="313"/>
      <c r="EH967" s="3"/>
      <c r="GS967" s="3"/>
      <c r="GT967" s="4"/>
      <c r="GU967" s="4"/>
      <c r="GV967" s="4"/>
      <c r="GW967" s="4"/>
      <c r="GX967" s="4"/>
      <c r="GY967" s="4"/>
      <c r="GZ967" s="4"/>
      <c r="HA967" s="4"/>
    </row>
    <row r="968" spans="1:256" ht="15.75" x14ac:dyDescent="0.25">
      <c r="A968" s="201" t="s">
        <v>1775</v>
      </c>
      <c r="B968" s="200" t="s">
        <v>1159</v>
      </c>
      <c r="C968" s="197" t="s">
        <v>1091</v>
      </c>
      <c r="D968" s="295">
        <f>221.82*1.05</f>
        <v>232.91</v>
      </c>
      <c r="E968" s="16">
        <f>D968*20%</f>
        <v>46.58</v>
      </c>
      <c r="F968" s="164">
        <f>D968+E968</f>
        <v>279.49</v>
      </c>
      <c r="EH968" s="3"/>
      <c r="GS968" s="3"/>
      <c r="GT968" s="4"/>
      <c r="GU968" s="4"/>
      <c r="GV968" s="4"/>
      <c r="GW968" s="4"/>
      <c r="GX968" s="4"/>
      <c r="GY968" s="4"/>
      <c r="GZ968" s="4"/>
      <c r="HA968" s="4"/>
    </row>
    <row r="969" spans="1:256" ht="15.75" x14ac:dyDescent="0.25">
      <c r="A969" s="201" t="s">
        <v>1776</v>
      </c>
      <c r="B969" s="200" t="s">
        <v>1160</v>
      </c>
      <c r="C969" s="197" t="s">
        <v>1091</v>
      </c>
      <c r="D969" s="295">
        <f>155.2*1.05</f>
        <v>162.96</v>
      </c>
      <c r="E969" s="16">
        <f>D969*20%</f>
        <v>32.590000000000003</v>
      </c>
      <c r="F969" s="164">
        <f>D969+E969</f>
        <v>195.55</v>
      </c>
      <c r="EH969" s="3"/>
      <c r="GS969" s="3"/>
      <c r="GT969" s="4"/>
      <c r="GU969" s="4"/>
      <c r="GV969" s="4"/>
      <c r="GW969" s="4"/>
      <c r="GX969" s="4"/>
      <c r="GY969" s="4"/>
      <c r="GZ969" s="4"/>
      <c r="HA969" s="4"/>
      <c r="HM969">
        <v>183.14</v>
      </c>
      <c r="IT969">
        <f>HM969/1.18</f>
        <v>155.203389830508</v>
      </c>
      <c r="IU969" s="162">
        <f>67.75*1.04</f>
        <v>70.459999999999994</v>
      </c>
      <c r="IV969" s="198">
        <f>70.46*1.045</f>
        <v>73.63</v>
      </c>
    </row>
    <row r="970" spans="1:256" ht="15.75" x14ac:dyDescent="0.25">
      <c r="A970" s="201" t="s">
        <v>1777</v>
      </c>
      <c r="B970" s="200" t="s">
        <v>1161</v>
      </c>
      <c r="C970" s="197" t="s">
        <v>1091</v>
      </c>
      <c r="D970" s="295">
        <f>157.49*1.05</f>
        <v>165.36</v>
      </c>
      <c r="E970" s="16">
        <f>D970*20%</f>
        <v>33.07</v>
      </c>
      <c r="F970" s="164">
        <f>D970+E970</f>
        <v>198.43</v>
      </c>
      <c r="EH970" s="3"/>
      <c r="GS970" s="3"/>
      <c r="GT970" s="4"/>
      <c r="GU970" s="4"/>
      <c r="GV970" s="4"/>
      <c r="GW970" s="4"/>
      <c r="GX970" s="4"/>
      <c r="GY970" s="4"/>
      <c r="GZ970" s="4"/>
      <c r="HA970" s="4"/>
      <c r="HM970">
        <v>185.84</v>
      </c>
      <c r="IT970">
        <f>HM970/1.18</f>
        <v>157.491525423729</v>
      </c>
      <c r="IU970" s="162">
        <f>118.84*1.04</f>
        <v>123.59</v>
      </c>
      <c r="IV970" s="198">
        <f>123.59*1.045</f>
        <v>129.15</v>
      </c>
    </row>
    <row r="971" spans="1:256" ht="40.5" customHeight="1" x14ac:dyDescent="0.25">
      <c r="A971" s="196" t="s">
        <v>1778</v>
      </c>
      <c r="B971" s="203" t="s">
        <v>1162</v>
      </c>
      <c r="C971" s="197" t="s">
        <v>1091</v>
      </c>
      <c r="D971" s="295">
        <f>47.31*1.05</f>
        <v>49.68</v>
      </c>
      <c r="E971" s="16">
        <f>D971*20%</f>
        <v>9.94</v>
      </c>
      <c r="F971" s="164">
        <f>D971+E971</f>
        <v>59.62</v>
      </c>
      <c r="EH971" s="3"/>
      <c r="GS971" s="3"/>
      <c r="GT971" s="4"/>
      <c r="GU971" s="4"/>
      <c r="GV971" s="4"/>
      <c r="GW971" s="4"/>
      <c r="GX971" s="4"/>
      <c r="GY971" s="4"/>
      <c r="GZ971" s="4"/>
      <c r="HA971" s="4"/>
      <c r="IU971" s="162">
        <f>43.53*1.04</f>
        <v>45.27</v>
      </c>
      <c r="IV971" s="198">
        <f>45.27*1.045</f>
        <v>47.31</v>
      </c>
    </row>
    <row r="972" spans="1:256" ht="43.5" customHeight="1" x14ac:dyDescent="0.25">
      <c r="A972" s="196" t="s">
        <v>1779</v>
      </c>
      <c r="B972" s="203" t="s">
        <v>1163</v>
      </c>
      <c r="C972" s="197" t="s">
        <v>1091</v>
      </c>
      <c r="D972" s="295">
        <f>149.06*1.05</f>
        <v>156.51</v>
      </c>
      <c r="E972" s="16">
        <f>D972*20%</f>
        <v>31.3</v>
      </c>
      <c r="F972" s="164">
        <f>D972+E972</f>
        <v>187.81</v>
      </c>
      <c r="EH972" s="3"/>
      <c r="GS972" s="3"/>
      <c r="GT972" s="4"/>
      <c r="GU972" s="4"/>
      <c r="GV972" s="4"/>
      <c r="GW972" s="4"/>
      <c r="GX972" s="4"/>
      <c r="GY972" s="4"/>
      <c r="GZ972" s="4"/>
      <c r="HA972" s="4"/>
      <c r="IU972" s="162">
        <f>137.15*1.04</f>
        <v>142.63999999999999</v>
      </c>
      <c r="IV972" s="198">
        <f>142.64*1.045</f>
        <v>149.06</v>
      </c>
    </row>
    <row r="973" spans="1:256" ht="24" customHeight="1" x14ac:dyDescent="0.2">
      <c r="A973" s="196" t="s">
        <v>1780</v>
      </c>
      <c r="B973" s="313" t="s">
        <v>1164</v>
      </c>
      <c r="C973" s="313"/>
      <c r="D973" s="313"/>
      <c r="E973" s="313"/>
      <c r="F973" s="313"/>
      <c r="EH973" s="3"/>
      <c r="GS973" s="3"/>
      <c r="GT973" s="4"/>
      <c r="GU973" s="4"/>
      <c r="GV973" s="4"/>
      <c r="GW973" s="4"/>
      <c r="GX973" s="4"/>
      <c r="GY973" s="4"/>
      <c r="GZ973" s="4"/>
      <c r="HA973" s="4"/>
    </row>
    <row r="974" spans="1:256" ht="21.75" customHeight="1" x14ac:dyDescent="0.2">
      <c r="A974" s="201" t="s">
        <v>1781</v>
      </c>
      <c r="B974" s="285" t="s">
        <v>1165</v>
      </c>
      <c r="C974" s="197" t="s">
        <v>1091</v>
      </c>
      <c r="D974" s="295">
        <f>108.79*1.05</f>
        <v>114.23</v>
      </c>
      <c r="E974" s="16">
        <f t="shared" ref="E974:E1003" si="94">D974*20%</f>
        <v>22.85</v>
      </c>
      <c r="F974" s="164">
        <f t="shared" ref="F974:F1011" si="95">D974+E974</f>
        <v>137.08000000000001</v>
      </c>
      <c r="EH974" s="3"/>
      <c r="GS974" s="3"/>
      <c r="GT974" s="4"/>
      <c r="GU974" s="4"/>
      <c r="GV974" s="4"/>
      <c r="GW974" s="4"/>
      <c r="GX974" s="4"/>
      <c r="GY974" s="4"/>
      <c r="GZ974" s="4"/>
      <c r="HA974" s="4"/>
      <c r="IU974" s="162">
        <f>100.11*1.04</f>
        <v>104.11</v>
      </c>
      <c r="IV974" s="198">
        <f>104.11*1.045</f>
        <v>108.79</v>
      </c>
    </row>
    <row r="975" spans="1:256" ht="23.25" customHeight="1" x14ac:dyDescent="0.2">
      <c r="A975" s="201" t="s">
        <v>1782</v>
      </c>
      <c r="B975" s="285" t="s">
        <v>1096</v>
      </c>
      <c r="C975" s="197" t="s">
        <v>1091</v>
      </c>
      <c r="D975" s="295">
        <f>69.58*1.05</f>
        <v>73.06</v>
      </c>
      <c r="E975" s="16">
        <f t="shared" si="94"/>
        <v>14.61</v>
      </c>
      <c r="F975" s="164">
        <f>D975+E975</f>
        <v>87.67</v>
      </c>
      <c r="EH975" s="3"/>
      <c r="GS975" s="3"/>
      <c r="GT975" s="4"/>
      <c r="GU975" s="4"/>
      <c r="GV975" s="4"/>
      <c r="GW975" s="4"/>
      <c r="GX975" s="4"/>
      <c r="GY975" s="4"/>
      <c r="GZ975" s="4"/>
      <c r="HA975" s="4"/>
      <c r="HM975">
        <v>82.1</v>
      </c>
      <c r="IT975">
        <f>HM975/1.18</f>
        <v>69.576271186440707</v>
      </c>
      <c r="IU975" s="162">
        <f>42.45*1.04</f>
        <v>44.15</v>
      </c>
      <c r="IV975" s="198">
        <f>44.15*1.045</f>
        <v>46.14</v>
      </c>
    </row>
    <row r="976" spans="1:256" ht="39" customHeight="1" x14ac:dyDescent="0.2">
      <c r="A976" s="201" t="s">
        <v>1783</v>
      </c>
      <c r="B976" s="285" t="s">
        <v>1166</v>
      </c>
      <c r="C976" s="197" t="s">
        <v>1091</v>
      </c>
      <c r="D976" s="295">
        <f>92.52*1.05</f>
        <v>97.15</v>
      </c>
      <c r="E976" s="16">
        <f t="shared" si="94"/>
        <v>19.43</v>
      </c>
      <c r="F976" s="164">
        <f>D976+E976</f>
        <v>116.58</v>
      </c>
      <c r="EH976" s="3"/>
      <c r="GS976" s="3"/>
      <c r="GT976" s="4"/>
      <c r="GU976" s="4"/>
      <c r="GV976" s="4"/>
      <c r="GW976" s="4"/>
      <c r="GX976" s="4"/>
      <c r="GY976" s="4"/>
      <c r="GZ976" s="4"/>
      <c r="HA976" s="4"/>
      <c r="IU976" s="162">
        <f>85.13*1.04</f>
        <v>88.54</v>
      </c>
      <c r="IV976" s="198">
        <f>88.54*1.045</f>
        <v>92.52</v>
      </c>
    </row>
    <row r="977" spans="1:256" ht="55.5" customHeight="1" x14ac:dyDescent="0.2">
      <c r="A977" s="196" t="s">
        <v>1784</v>
      </c>
      <c r="B977" s="279" t="s">
        <v>1167</v>
      </c>
      <c r="C977" s="197" t="s">
        <v>1091</v>
      </c>
      <c r="D977" s="295">
        <f>469.07*1.05</f>
        <v>492.52</v>
      </c>
      <c r="E977" s="16">
        <f t="shared" si="94"/>
        <v>98.5</v>
      </c>
      <c r="F977" s="164">
        <f>D977+E977</f>
        <v>591.02</v>
      </c>
      <c r="EH977" s="3" t="s">
        <v>1092</v>
      </c>
      <c r="GS977" s="3"/>
      <c r="GT977" s="4"/>
      <c r="GU977" s="4"/>
      <c r="GV977" s="4"/>
      <c r="GW977" s="4"/>
      <c r="GX977" s="4"/>
      <c r="GY977" s="4"/>
      <c r="GZ977" s="4"/>
      <c r="HA977" s="4"/>
    </row>
    <row r="978" spans="1:256" ht="36.75" customHeight="1" x14ac:dyDescent="0.2">
      <c r="A978" s="196" t="s">
        <v>1785</v>
      </c>
      <c r="B978" s="279" t="s">
        <v>1168</v>
      </c>
      <c r="C978" s="197" t="s">
        <v>1091</v>
      </c>
      <c r="D978" s="295">
        <f>437.31*1.05</f>
        <v>459.18</v>
      </c>
      <c r="E978" s="16">
        <f t="shared" si="94"/>
        <v>91.84</v>
      </c>
      <c r="F978" s="164">
        <f>D978+E978</f>
        <v>551.02</v>
      </c>
      <c r="EH978" s="3" t="s">
        <v>1092</v>
      </c>
      <c r="GS978" s="3"/>
      <c r="GT978" s="4"/>
      <c r="GU978" s="4"/>
      <c r="GV978" s="4"/>
      <c r="GW978" s="4"/>
      <c r="GX978" s="4"/>
      <c r="GY978" s="4"/>
      <c r="GZ978" s="4"/>
      <c r="HA978" s="4"/>
    </row>
    <row r="979" spans="1:256" ht="54.75" customHeight="1" x14ac:dyDescent="0.2">
      <c r="A979" s="196" t="s">
        <v>1786</v>
      </c>
      <c r="B979" s="279" t="s">
        <v>1169</v>
      </c>
      <c r="C979" s="197" t="s">
        <v>1091</v>
      </c>
      <c r="D979" s="295">
        <f>106.13*1.05</f>
        <v>111.44</v>
      </c>
      <c r="E979" s="16">
        <f t="shared" si="94"/>
        <v>22.29</v>
      </c>
      <c r="F979" s="164">
        <f t="shared" si="95"/>
        <v>133.72999999999999</v>
      </c>
      <c r="EH979" s="3"/>
      <c r="GS979" s="3"/>
      <c r="GT979" s="4"/>
      <c r="GU979" s="4"/>
      <c r="GV979" s="4"/>
      <c r="GW979" s="4"/>
      <c r="GX979" s="4"/>
      <c r="GY979" s="4"/>
      <c r="GZ979" s="4"/>
      <c r="HA979" s="4"/>
      <c r="IU979" s="162">
        <f>97.65*1.04</f>
        <v>101.56</v>
      </c>
      <c r="IV979" s="198">
        <f>101.56*1.045</f>
        <v>106.13</v>
      </c>
    </row>
    <row r="980" spans="1:256" ht="31.5" x14ac:dyDescent="0.2">
      <c r="A980" s="196" t="s">
        <v>1787</v>
      </c>
      <c r="B980" s="279" t="s">
        <v>1170</v>
      </c>
      <c r="C980" s="197" t="s">
        <v>1091</v>
      </c>
      <c r="D980" s="295">
        <f>64.75*1.05</f>
        <v>67.989999999999995</v>
      </c>
      <c r="E980" s="16">
        <f t="shared" si="94"/>
        <v>13.6</v>
      </c>
      <c r="F980" s="164">
        <f t="shared" si="95"/>
        <v>81.59</v>
      </c>
      <c r="EH980" s="3"/>
      <c r="GS980" s="3"/>
      <c r="GT980" s="4"/>
      <c r="GU980" s="4"/>
      <c r="GV980" s="4"/>
      <c r="GW980" s="4"/>
      <c r="GX980" s="4"/>
      <c r="GY980" s="4"/>
      <c r="GZ980" s="4"/>
      <c r="HA980" s="4"/>
      <c r="HM980">
        <v>76.400000000000006</v>
      </c>
      <c r="IT980">
        <f>HM980/1.18</f>
        <v>64.745762711864401</v>
      </c>
      <c r="IU980" s="162">
        <f>29.66*1.04</f>
        <v>30.85</v>
      </c>
      <c r="IV980" s="198">
        <f>30.85*1.045</f>
        <v>32.24</v>
      </c>
    </row>
    <row r="981" spans="1:256" ht="40.5" customHeight="1" x14ac:dyDescent="0.2">
      <c r="A981" s="196" t="s">
        <v>1788</v>
      </c>
      <c r="B981" s="279" t="s">
        <v>1171</v>
      </c>
      <c r="C981" s="197" t="s">
        <v>1091</v>
      </c>
      <c r="D981" s="295">
        <f>135.87*1.05</f>
        <v>142.66</v>
      </c>
      <c r="E981" s="16">
        <f t="shared" si="94"/>
        <v>28.53</v>
      </c>
      <c r="F981" s="164">
        <f t="shared" si="95"/>
        <v>171.19</v>
      </c>
      <c r="EH981" s="3"/>
      <c r="GS981" s="3"/>
      <c r="GT981" s="4"/>
      <c r="GU981" s="4"/>
      <c r="GV981" s="4"/>
      <c r="GW981" s="4"/>
      <c r="GX981" s="4"/>
      <c r="GY981" s="4"/>
      <c r="GZ981" s="4"/>
      <c r="HA981" s="4"/>
      <c r="HM981">
        <v>160.32</v>
      </c>
      <c r="IT981">
        <f>HM981/1.18</f>
        <v>135.86440677966101</v>
      </c>
      <c r="IU981" s="162">
        <f>106.19*1.04</f>
        <v>110.44</v>
      </c>
      <c r="IV981" s="198">
        <f>110.44*1.045</f>
        <v>115.41</v>
      </c>
    </row>
    <row r="982" spans="1:256" ht="24" customHeight="1" x14ac:dyDescent="0.2">
      <c r="A982" s="196" t="s">
        <v>1789</v>
      </c>
      <c r="B982" s="279" t="s">
        <v>1172</v>
      </c>
      <c r="C982" s="197" t="s">
        <v>1091</v>
      </c>
      <c r="D982" s="295">
        <f>794.9*1.05</f>
        <v>834.65</v>
      </c>
      <c r="E982" s="16">
        <f t="shared" si="94"/>
        <v>166.93</v>
      </c>
      <c r="F982" s="164">
        <f>D982+E982</f>
        <v>1001.58</v>
      </c>
      <c r="EH982" s="3"/>
      <c r="GS982" s="3"/>
      <c r="GT982" s="4"/>
      <c r="GU982" s="4"/>
      <c r="GV982" s="4"/>
      <c r="GW982" s="4"/>
      <c r="GX982" s="4"/>
      <c r="GY982" s="4"/>
      <c r="GZ982" s="4"/>
      <c r="HA982" s="4"/>
      <c r="HM982">
        <v>937.97</v>
      </c>
      <c r="IT982">
        <f>HM982/1.18</f>
        <v>794.88983050847503</v>
      </c>
      <c r="IU982" s="162">
        <f>601.35*1.04</f>
        <v>625.4</v>
      </c>
      <c r="IV982" s="198">
        <f>625.4*1.045</f>
        <v>653.54</v>
      </c>
    </row>
    <row r="983" spans="1:256" ht="31.5" x14ac:dyDescent="0.2">
      <c r="A983" s="196" t="s">
        <v>1790</v>
      </c>
      <c r="B983" s="279" t="s">
        <v>1173</v>
      </c>
      <c r="C983" s="197" t="s">
        <v>1091</v>
      </c>
      <c r="D983" s="295">
        <f>204.43*1.05</f>
        <v>214.65</v>
      </c>
      <c r="E983" s="16">
        <f t="shared" si="94"/>
        <v>42.93</v>
      </c>
      <c r="F983" s="164">
        <f>D983+E983</f>
        <v>257.58</v>
      </c>
      <c r="EH983" s="3"/>
      <c r="GS983" s="3"/>
      <c r="GT983" s="4"/>
      <c r="GU983" s="4"/>
      <c r="GV983" s="4"/>
      <c r="GW983" s="4"/>
      <c r="GX983" s="4"/>
      <c r="GY983" s="4"/>
      <c r="GZ983" s="4"/>
      <c r="HA983" s="4"/>
      <c r="IU983" s="162">
        <f>917.85*1.04</f>
        <v>954.56</v>
      </c>
      <c r="IV983" s="198">
        <f>954.56*1.045</f>
        <v>997.52</v>
      </c>
    </row>
    <row r="984" spans="1:256" ht="41.25" customHeight="1" x14ac:dyDescent="0.2">
      <c r="A984" s="196" t="s">
        <v>1791</v>
      </c>
      <c r="B984" s="279" t="s">
        <v>1174</v>
      </c>
      <c r="C984" s="197" t="s">
        <v>1091</v>
      </c>
      <c r="D984" s="295">
        <f>476.06*1.05</f>
        <v>499.86</v>
      </c>
      <c r="E984" s="16">
        <f t="shared" si="94"/>
        <v>99.97</v>
      </c>
      <c r="F984" s="164">
        <f t="shared" si="95"/>
        <v>599.83000000000004</v>
      </c>
      <c r="EH984" s="3"/>
      <c r="GS984" s="3"/>
      <c r="GT984" s="4"/>
      <c r="GU984" s="4"/>
      <c r="GV984" s="4"/>
      <c r="GW984" s="4"/>
      <c r="GX984" s="4"/>
      <c r="GY984" s="4"/>
      <c r="GZ984" s="4"/>
      <c r="HA984" s="4"/>
      <c r="IU984" s="162">
        <f>438.04*1.04</f>
        <v>455.56</v>
      </c>
      <c r="IV984" s="198">
        <f>455.56*1.045</f>
        <v>476.06</v>
      </c>
    </row>
    <row r="985" spans="1:256" ht="40.5" customHeight="1" x14ac:dyDescent="0.2">
      <c r="A985" s="196" t="s">
        <v>1792</v>
      </c>
      <c r="B985" s="279" t="s">
        <v>1175</v>
      </c>
      <c r="C985" s="197" t="s">
        <v>1091</v>
      </c>
      <c r="D985" s="295">
        <f>441.58*1.05</f>
        <v>463.66</v>
      </c>
      <c r="E985" s="16">
        <f t="shared" si="94"/>
        <v>92.73</v>
      </c>
      <c r="F985" s="164">
        <f>D985+E985</f>
        <v>556.39</v>
      </c>
      <c r="EH985" s="3"/>
      <c r="GS985" s="3"/>
      <c r="GT985" s="4"/>
      <c r="GU985" s="4"/>
      <c r="GV985" s="4"/>
      <c r="GW985" s="4"/>
      <c r="GX985" s="4"/>
      <c r="GY985" s="4"/>
      <c r="GZ985" s="4"/>
      <c r="HA985" s="4"/>
      <c r="IU985" s="162">
        <v>422.56</v>
      </c>
      <c r="IV985" s="198">
        <f>422.56*1.045</f>
        <v>441.58</v>
      </c>
    </row>
    <row r="986" spans="1:256" ht="30" customHeight="1" x14ac:dyDescent="0.2">
      <c r="A986" s="196" t="s">
        <v>1793</v>
      </c>
      <c r="B986" s="279" t="s">
        <v>1176</v>
      </c>
      <c r="C986" s="197" t="s">
        <v>1091</v>
      </c>
      <c r="D986" s="295">
        <f>93.21*1.05</f>
        <v>97.87</v>
      </c>
      <c r="E986" s="16">
        <f t="shared" si="94"/>
        <v>19.57</v>
      </c>
      <c r="F986" s="164">
        <f>D986+E986</f>
        <v>117.44</v>
      </c>
      <c r="EH986" s="3"/>
      <c r="GS986" s="3"/>
      <c r="GT986" s="4"/>
      <c r="GU986" s="4"/>
      <c r="GV986" s="4"/>
      <c r="GW986" s="4"/>
      <c r="GX986" s="4"/>
      <c r="GY986" s="4"/>
      <c r="GZ986" s="4"/>
      <c r="HA986" s="4"/>
      <c r="IU986" s="162">
        <v>89.2</v>
      </c>
      <c r="IV986" s="198">
        <f>89.2*1.045</f>
        <v>93.21</v>
      </c>
    </row>
    <row r="987" spans="1:256" ht="49.5" customHeight="1" x14ac:dyDescent="0.2">
      <c r="A987" s="196" t="s">
        <v>1794</v>
      </c>
      <c r="B987" s="279" t="s">
        <v>1177</v>
      </c>
      <c r="C987" s="197" t="s">
        <v>1091</v>
      </c>
      <c r="D987" s="295">
        <f>382.1*1.05</f>
        <v>401.21</v>
      </c>
      <c r="E987" s="16">
        <f t="shared" si="94"/>
        <v>80.239999999999995</v>
      </c>
      <c r="F987" s="164">
        <f t="shared" si="95"/>
        <v>481.45</v>
      </c>
      <c r="EH987" s="3"/>
      <c r="GS987" s="3"/>
      <c r="GT987" s="4"/>
      <c r="GU987" s="4"/>
      <c r="GV987" s="4"/>
      <c r="GW987" s="4"/>
      <c r="GX987" s="4"/>
      <c r="GY987" s="4"/>
      <c r="GZ987" s="4"/>
      <c r="HA987" s="4"/>
      <c r="IU987" s="162">
        <f>351.59*1.04</f>
        <v>365.65</v>
      </c>
      <c r="IV987" s="198">
        <f>365.65*1.045</f>
        <v>382.1</v>
      </c>
    </row>
    <row r="988" spans="1:256" ht="66.75" customHeight="1" x14ac:dyDescent="0.2">
      <c r="A988" s="196" t="s">
        <v>1795</v>
      </c>
      <c r="B988" s="279" t="s">
        <v>1178</v>
      </c>
      <c r="C988" s="197" t="s">
        <v>1091</v>
      </c>
      <c r="D988" s="295">
        <f>293.93*1.05</f>
        <v>308.63</v>
      </c>
      <c r="E988" s="16">
        <f t="shared" si="94"/>
        <v>61.73</v>
      </c>
      <c r="F988" s="164">
        <f t="shared" si="95"/>
        <v>370.36</v>
      </c>
      <c r="EH988" s="3"/>
      <c r="GS988" s="3"/>
      <c r="GT988" s="4"/>
      <c r="GU988" s="4"/>
      <c r="GV988" s="4"/>
      <c r="GW988" s="4"/>
      <c r="GX988" s="4"/>
      <c r="GY988" s="4"/>
      <c r="GZ988" s="4"/>
      <c r="HA988" s="4"/>
      <c r="IU988" s="162">
        <f>270.45*1.04</f>
        <v>281.27</v>
      </c>
      <c r="IV988" s="198">
        <f>281.27*1.045</f>
        <v>293.93</v>
      </c>
    </row>
    <row r="989" spans="1:256" ht="54" customHeight="1" x14ac:dyDescent="0.2">
      <c r="A989" s="196" t="s">
        <v>1796</v>
      </c>
      <c r="B989" s="279" t="s">
        <v>1179</v>
      </c>
      <c r="C989" s="197" t="s">
        <v>1091</v>
      </c>
      <c r="D989" s="295">
        <f>115.58*1.05</f>
        <v>121.36</v>
      </c>
      <c r="E989" s="16">
        <f t="shared" si="94"/>
        <v>24.27</v>
      </c>
      <c r="F989" s="164">
        <f t="shared" si="95"/>
        <v>145.63</v>
      </c>
      <c r="EH989" s="3"/>
      <c r="GS989" s="3"/>
      <c r="GT989" s="4"/>
      <c r="GU989" s="4"/>
      <c r="GV989" s="4"/>
      <c r="GW989" s="4"/>
      <c r="GX989" s="4"/>
      <c r="GY989" s="4"/>
      <c r="GZ989" s="4"/>
      <c r="HA989" s="4"/>
      <c r="IU989" s="162">
        <f>106.35*1.04</f>
        <v>110.6</v>
      </c>
      <c r="IV989" s="198">
        <f>110.6*1.045</f>
        <v>115.58</v>
      </c>
    </row>
    <row r="990" spans="1:256" ht="54.75" customHeight="1" x14ac:dyDescent="0.2">
      <c r="A990" s="196" t="s">
        <v>1797</v>
      </c>
      <c r="B990" s="279" t="s">
        <v>1180</v>
      </c>
      <c r="C990" s="197" t="s">
        <v>1076</v>
      </c>
      <c r="D990" s="295">
        <f>1017.2*1.05</f>
        <v>1068.06</v>
      </c>
      <c r="E990" s="16">
        <f t="shared" si="94"/>
        <v>213.61</v>
      </c>
      <c r="F990" s="164">
        <f t="shared" si="95"/>
        <v>1281.67</v>
      </c>
      <c r="EH990" s="3"/>
      <c r="GS990" s="3"/>
      <c r="GT990" s="4"/>
      <c r="GU990" s="4"/>
      <c r="GV990" s="4"/>
      <c r="GW990" s="4"/>
      <c r="GX990" s="4"/>
      <c r="GY990" s="4"/>
      <c r="GZ990" s="4"/>
      <c r="HA990" s="4"/>
      <c r="HM990">
        <v>1200.3</v>
      </c>
      <c r="IT990">
        <f>HM990/1.18</f>
        <v>1017.20338983051</v>
      </c>
      <c r="IU990" s="162">
        <f>538.05*1.04</f>
        <v>559.57000000000005</v>
      </c>
      <c r="IV990" s="198">
        <f>559.57*1.045</f>
        <v>584.75</v>
      </c>
    </row>
    <row r="991" spans="1:256" ht="78" customHeight="1" x14ac:dyDescent="0.2">
      <c r="A991" s="196" t="s">
        <v>1798</v>
      </c>
      <c r="B991" s="286" t="s">
        <v>1181</v>
      </c>
      <c r="C991" s="197" t="s">
        <v>1091</v>
      </c>
      <c r="D991" s="295">
        <f>1147.46*1.05</f>
        <v>1204.83</v>
      </c>
      <c r="E991" s="16">
        <f t="shared" si="94"/>
        <v>240.97</v>
      </c>
      <c r="F991" s="164">
        <f t="shared" si="95"/>
        <v>1445.8</v>
      </c>
      <c r="EH991" s="3"/>
      <c r="GS991" s="3"/>
      <c r="GT991" s="4"/>
      <c r="GU991" s="4"/>
      <c r="GV991" s="4"/>
      <c r="GW991" s="4"/>
      <c r="GX991" s="4"/>
      <c r="GY991" s="4"/>
      <c r="GZ991" s="4"/>
      <c r="HA991" s="4"/>
      <c r="IU991" s="162">
        <f>1055.82*1.04</f>
        <v>1098.05</v>
      </c>
      <c r="IV991" s="198">
        <f>1098.05*1.045</f>
        <v>1147.46</v>
      </c>
    </row>
    <row r="992" spans="1:256" ht="32.25" customHeight="1" x14ac:dyDescent="0.25">
      <c r="A992" s="196" t="s">
        <v>1799</v>
      </c>
      <c r="B992" s="203" t="s">
        <v>1182</v>
      </c>
      <c r="C992" s="197" t="s">
        <v>1091</v>
      </c>
      <c r="D992" s="295">
        <f>136.27*1.05</f>
        <v>143.08000000000001</v>
      </c>
      <c r="E992" s="16">
        <f t="shared" si="94"/>
        <v>28.62</v>
      </c>
      <c r="F992" s="164">
        <f t="shared" si="95"/>
        <v>171.7</v>
      </c>
      <c r="EH992" s="3"/>
      <c r="GS992" s="3"/>
      <c r="GT992" s="4"/>
      <c r="GU992" s="4"/>
      <c r="GV992" s="4"/>
      <c r="GW992" s="4"/>
      <c r="GX992" s="4"/>
      <c r="GY992" s="4"/>
      <c r="GZ992" s="4"/>
      <c r="HA992" s="4"/>
      <c r="HM992">
        <v>160.80000000000001</v>
      </c>
      <c r="IT992">
        <f>HM992/1.18</f>
        <v>136.27118644067801</v>
      </c>
      <c r="IU992" s="162">
        <f>72.36*1.04</f>
        <v>75.25</v>
      </c>
      <c r="IV992" s="198">
        <f>75.25*1.045</f>
        <v>78.64</v>
      </c>
    </row>
    <row r="993" spans="1:256" ht="31.5" x14ac:dyDescent="0.2">
      <c r="A993" s="196" t="s">
        <v>1800</v>
      </c>
      <c r="B993" s="202" t="s">
        <v>1183</v>
      </c>
      <c r="C993" s="197" t="s">
        <v>1091</v>
      </c>
      <c r="D993" s="295">
        <f>370.36*1.05</f>
        <v>388.88</v>
      </c>
      <c r="E993" s="16">
        <f t="shared" si="94"/>
        <v>77.78</v>
      </c>
      <c r="F993" s="164">
        <f>D993+E993</f>
        <v>466.66</v>
      </c>
      <c r="EH993" s="3" t="s">
        <v>1092</v>
      </c>
      <c r="GS993" s="3"/>
      <c r="GT993" s="4"/>
      <c r="GU993" s="4"/>
      <c r="GV993" s="4"/>
      <c r="GW993" s="4"/>
      <c r="GX993" s="4"/>
      <c r="GY993" s="4"/>
      <c r="GZ993" s="4"/>
      <c r="HA993" s="4"/>
    </row>
    <row r="994" spans="1:256" ht="31.5" x14ac:dyDescent="0.25">
      <c r="A994" s="196" t="s">
        <v>1801</v>
      </c>
      <c r="B994" s="203" t="s">
        <v>1184</v>
      </c>
      <c r="C994" s="197" t="s">
        <v>1091</v>
      </c>
      <c r="D994" s="295">
        <f>439.03*1.05</f>
        <v>460.98</v>
      </c>
      <c r="E994" s="16">
        <f t="shared" si="94"/>
        <v>92.2</v>
      </c>
      <c r="F994" s="164">
        <f t="shared" si="95"/>
        <v>553.17999999999995</v>
      </c>
      <c r="EH994" s="3" t="s">
        <v>1092</v>
      </c>
      <c r="GS994" s="3"/>
      <c r="GT994" s="4"/>
      <c r="GU994" s="4"/>
      <c r="GV994" s="4"/>
      <c r="GW994" s="4"/>
      <c r="GX994" s="4"/>
      <c r="GY994" s="4"/>
      <c r="GZ994" s="4"/>
      <c r="HA994" s="4"/>
    </row>
    <row r="995" spans="1:256" ht="31.5" x14ac:dyDescent="0.25">
      <c r="A995" s="196" t="s">
        <v>1802</v>
      </c>
      <c r="B995" s="203" t="s">
        <v>1185</v>
      </c>
      <c r="C995" s="197" t="s">
        <v>1091</v>
      </c>
      <c r="D995" s="295">
        <f>442.18*1.05</f>
        <v>464.29</v>
      </c>
      <c r="E995" s="16">
        <f t="shared" si="94"/>
        <v>92.86</v>
      </c>
      <c r="F995" s="164">
        <f>D995+E995</f>
        <v>557.15</v>
      </c>
      <c r="EH995" s="3" t="s">
        <v>1092</v>
      </c>
      <c r="GS995" s="3"/>
      <c r="GT995" s="4"/>
      <c r="GU995" s="4"/>
      <c r="GV995" s="4"/>
      <c r="GW995" s="4"/>
      <c r="GX995" s="4"/>
      <c r="GY995" s="4"/>
      <c r="GZ995" s="4"/>
      <c r="HA995" s="4"/>
    </row>
    <row r="996" spans="1:256" ht="25.5" customHeight="1" x14ac:dyDescent="0.2">
      <c r="A996" s="196" t="s">
        <v>1803</v>
      </c>
      <c r="B996" s="279" t="s">
        <v>1186</v>
      </c>
      <c r="C996" s="197" t="s">
        <v>1091</v>
      </c>
      <c r="D996" s="295">
        <f>412.81*1.05</f>
        <v>433.45</v>
      </c>
      <c r="E996" s="16">
        <f t="shared" si="94"/>
        <v>86.69</v>
      </c>
      <c r="F996" s="164">
        <f t="shared" si="95"/>
        <v>520.14</v>
      </c>
      <c r="EH996" s="3"/>
      <c r="GS996" s="3"/>
      <c r="GT996" s="4"/>
      <c r="GU996" s="4"/>
      <c r="GV996" s="4"/>
      <c r="GW996" s="4"/>
      <c r="GX996" s="4"/>
      <c r="GY996" s="4"/>
      <c r="GZ996" s="4"/>
      <c r="HA996" s="4"/>
      <c r="IU996" s="162">
        <f>379.84*1.04</f>
        <v>395.03</v>
      </c>
      <c r="IV996" s="198">
        <f>395.03*1.045</f>
        <v>412.81</v>
      </c>
    </row>
    <row r="997" spans="1:256" ht="31.5" x14ac:dyDescent="0.25">
      <c r="A997" s="196" t="s">
        <v>1804</v>
      </c>
      <c r="B997" s="293" t="s">
        <v>1187</v>
      </c>
      <c r="C997" s="197" t="s">
        <v>1091</v>
      </c>
      <c r="D997" s="295">
        <f>114.73*1.05</f>
        <v>120.47</v>
      </c>
      <c r="E997" s="16">
        <f t="shared" si="94"/>
        <v>24.09</v>
      </c>
      <c r="F997" s="164">
        <f>D997+E997</f>
        <v>144.56</v>
      </c>
      <c r="EH997" s="3"/>
      <c r="GS997" s="3"/>
      <c r="GT997" s="4"/>
      <c r="GU997" s="4"/>
      <c r="GV997" s="4"/>
      <c r="GW997" s="4"/>
      <c r="GX997" s="4"/>
      <c r="GY997" s="4"/>
      <c r="GZ997" s="4"/>
      <c r="HA997" s="4"/>
      <c r="IU997" s="162">
        <f>105.57*1.04</f>
        <v>109.79</v>
      </c>
      <c r="IV997" s="198">
        <f>109.79*1.045</f>
        <v>114.73</v>
      </c>
    </row>
    <row r="998" spans="1:256" ht="15.75" x14ac:dyDescent="0.25">
      <c r="A998" s="196" t="s">
        <v>1805</v>
      </c>
      <c r="B998" s="293" t="s">
        <v>1188</v>
      </c>
      <c r="C998" s="197" t="s">
        <v>1091</v>
      </c>
      <c r="D998" s="295">
        <f>171.99*1.05</f>
        <v>180.59</v>
      </c>
      <c r="E998" s="16">
        <f t="shared" si="94"/>
        <v>36.119999999999997</v>
      </c>
      <c r="F998" s="164">
        <f t="shared" si="95"/>
        <v>216.71</v>
      </c>
      <c r="EH998" s="3"/>
      <c r="GS998" s="3"/>
      <c r="GT998" s="4"/>
      <c r="GU998" s="4"/>
      <c r="GV998" s="4"/>
      <c r="GW998" s="4"/>
      <c r="GX998" s="4"/>
      <c r="GY998" s="4"/>
      <c r="GZ998" s="4"/>
      <c r="HA998" s="4"/>
      <c r="IU998" s="162">
        <f>158.25*1.04</f>
        <v>164.58</v>
      </c>
      <c r="IV998" s="198">
        <f>164.58*1.045</f>
        <v>171.99</v>
      </c>
    </row>
    <row r="999" spans="1:256" ht="21" customHeight="1" x14ac:dyDescent="0.2">
      <c r="A999" s="196" t="s">
        <v>1806</v>
      </c>
      <c r="B999" s="279" t="s">
        <v>1189</v>
      </c>
      <c r="C999" s="197" t="s">
        <v>1091</v>
      </c>
      <c r="D999" s="295">
        <f>194.91*1.05</f>
        <v>204.66</v>
      </c>
      <c r="E999" s="16">
        <f t="shared" si="94"/>
        <v>40.93</v>
      </c>
      <c r="F999" s="164">
        <f t="shared" si="95"/>
        <v>245.59</v>
      </c>
      <c r="EH999" s="3"/>
      <c r="GS999" s="3"/>
      <c r="GT999" s="4"/>
      <c r="GU999" s="4"/>
      <c r="GV999" s="4"/>
      <c r="GW999" s="4"/>
      <c r="GX999" s="4"/>
      <c r="GY999" s="4"/>
      <c r="GZ999" s="4"/>
      <c r="HA999" s="4"/>
      <c r="IU999" s="162">
        <f>179.35*1.04</f>
        <v>186.52</v>
      </c>
      <c r="IV999" s="198">
        <f>186.52*1.045</f>
        <v>194.91</v>
      </c>
    </row>
    <row r="1000" spans="1:256" ht="31.5" customHeight="1" x14ac:dyDescent="0.2">
      <c r="A1000" s="196" t="s">
        <v>1807</v>
      </c>
      <c r="B1000" s="284" t="s">
        <v>1190</v>
      </c>
      <c r="C1000" s="197" t="s">
        <v>1091</v>
      </c>
      <c r="D1000" s="295">
        <f>447.43*1.05</f>
        <v>469.8</v>
      </c>
      <c r="E1000" s="16">
        <f t="shared" si="94"/>
        <v>93.96</v>
      </c>
      <c r="F1000" s="164">
        <f t="shared" si="95"/>
        <v>563.76</v>
      </c>
      <c r="EH1000" s="3" t="s">
        <v>1092</v>
      </c>
      <c r="GS1000" s="3"/>
      <c r="GT1000" s="4"/>
      <c r="GU1000" s="4"/>
      <c r="GV1000" s="4"/>
      <c r="GW1000" s="4"/>
      <c r="GX1000" s="4"/>
      <c r="GY1000" s="4"/>
      <c r="GZ1000" s="4"/>
      <c r="HA1000" s="4"/>
    </row>
    <row r="1001" spans="1:256" ht="69" customHeight="1" x14ac:dyDescent="0.2">
      <c r="A1001" s="196" t="s">
        <v>1808</v>
      </c>
      <c r="B1001" s="279" t="s">
        <v>1191</v>
      </c>
      <c r="C1001" s="197" t="s">
        <v>1192</v>
      </c>
      <c r="D1001" s="295">
        <f>1730.73*1.05</f>
        <v>1817.27</v>
      </c>
      <c r="E1001" s="16">
        <f t="shared" si="94"/>
        <v>363.45</v>
      </c>
      <c r="F1001" s="164">
        <f t="shared" si="95"/>
        <v>2180.7199999999998</v>
      </c>
      <c r="EH1001" s="3"/>
      <c r="GS1001" s="3"/>
      <c r="GT1001" s="4"/>
      <c r="GU1001" s="4"/>
      <c r="GV1001" s="4"/>
      <c r="GW1001" s="4"/>
      <c r="GX1001" s="4"/>
      <c r="GY1001" s="4"/>
      <c r="GZ1001" s="4"/>
      <c r="HA1001" s="4"/>
      <c r="IU1001" s="162">
        <v>1656.2</v>
      </c>
      <c r="IV1001" s="198">
        <f>1656.2*1.045</f>
        <v>1730.73</v>
      </c>
    </row>
    <row r="1002" spans="1:256" ht="25.5" customHeight="1" x14ac:dyDescent="0.2">
      <c r="A1002" s="196" t="s">
        <v>1809</v>
      </c>
      <c r="B1002" s="279" t="s">
        <v>1193</v>
      </c>
      <c r="C1002" s="213" t="s">
        <v>1194</v>
      </c>
      <c r="D1002" s="295">
        <f>127.7*1.05</f>
        <v>134.09</v>
      </c>
      <c r="E1002" s="16">
        <f t="shared" si="94"/>
        <v>26.82</v>
      </c>
      <c r="F1002" s="164">
        <f t="shared" si="95"/>
        <v>160.91</v>
      </c>
      <c r="EH1002" s="3"/>
      <c r="GS1002" s="3"/>
      <c r="GT1002" s="4"/>
      <c r="GU1002" s="4"/>
      <c r="GV1002" s="4"/>
      <c r="GW1002" s="4"/>
      <c r="GX1002" s="4"/>
      <c r="GY1002" s="4"/>
      <c r="GZ1002" s="4"/>
      <c r="HA1002" s="4"/>
      <c r="HM1002">
        <v>150.68</v>
      </c>
      <c r="IT1002">
        <f>HM1002/1.18</f>
        <v>127.694915254237</v>
      </c>
      <c r="IU1002" s="162">
        <v>111.59</v>
      </c>
      <c r="IV1002" s="198">
        <f>111.59*1.045</f>
        <v>116.61</v>
      </c>
    </row>
    <row r="1003" spans="1:256" ht="31.5" customHeight="1" x14ac:dyDescent="0.2">
      <c r="A1003" s="196" t="s">
        <v>1810</v>
      </c>
      <c r="B1003" s="279" t="s">
        <v>1195</v>
      </c>
      <c r="C1003" s="277" t="s">
        <v>1194</v>
      </c>
      <c r="D1003" s="295">
        <f>57.96*1.05</f>
        <v>60.86</v>
      </c>
      <c r="E1003" s="16">
        <f t="shared" si="94"/>
        <v>12.17</v>
      </c>
      <c r="F1003" s="164">
        <f t="shared" si="95"/>
        <v>73.03</v>
      </c>
      <c r="EH1003" s="3"/>
      <c r="GS1003" s="3"/>
      <c r="GT1003" s="4"/>
      <c r="GU1003" s="4"/>
      <c r="GV1003" s="4"/>
      <c r="GW1003" s="4"/>
      <c r="GX1003" s="4"/>
      <c r="GY1003" s="4"/>
      <c r="GZ1003" s="4"/>
      <c r="HA1003" s="4"/>
      <c r="IU1003" s="125">
        <v>55.46</v>
      </c>
      <c r="IV1003" s="198">
        <f>55.46*1.045</f>
        <v>57.96</v>
      </c>
    </row>
    <row r="1004" spans="1:256" ht="41.25" hidden="1" customHeight="1" x14ac:dyDescent="0.25">
      <c r="A1004" s="214" t="s">
        <v>1196</v>
      </c>
      <c r="B1004" s="215" t="s">
        <v>1197</v>
      </c>
      <c r="C1004" s="216" t="s">
        <v>240</v>
      </c>
      <c r="D1004" s="129">
        <v>2144.94</v>
      </c>
      <c r="E1004" s="217">
        <f t="shared" ref="E1004:E1011" si="96">D1004*0.18</f>
        <v>386.09</v>
      </c>
      <c r="F1004" s="218">
        <f t="shared" si="95"/>
        <v>2531.0300000000002</v>
      </c>
      <c r="EH1004" s="3"/>
      <c r="GS1004" s="3"/>
      <c r="GT1004" s="4"/>
      <c r="GU1004" s="4"/>
      <c r="GV1004" s="4"/>
      <c r="GW1004" s="4"/>
      <c r="GX1004" s="4"/>
      <c r="GY1004" s="4"/>
      <c r="GZ1004" s="4"/>
      <c r="HA1004" s="4"/>
      <c r="IU1004" s="162">
        <v>2052.5700000000002</v>
      </c>
      <c r="IV1004" s="198">
        <f>2052.57*1.045</f>
        <v>2144.94</v>
      </c>
    </row>
    <row r="1005" spans="1:256" ht="42.75" hidden="1" customHeight="1" x14ac:dyDescent="0.25">
      <c r="A1005" s="219" t="s">
        <v>1198</v>
      </c>
      <c r="B1005" s="293" t="s">
        <v>1199</v>
      </c>
      <c r="C1005" s="277" t="s">
        <v>240</v>
      </c>
      <c r="D1005" s="295">
        <v>1485.39</v>
      </c>
      <c r="E1005" s="164">
        <f t="shared" si="96"/>
        <v>267.37</v>
      </c>
      <c r="F1005" s="220">
        <f t="shared" si="95"/>
        <v>1752.76</v>
      </c>
      <c r="EH1005" s="3"/>
      <c r="GS1005" s="3"/>
      <c r="GT1005" s="4"/>
      <c r="GU1005" s="4"/>
      <c r="GV1005" s="4"/>
      <c r="GW1005" s="4"/>
      <c r="GX1005" s="4"/>
      <c r="GY1005" s="4"/>
      <c r="GZ1005" s="4"/>
      <c r="HA1005" s="4"/>
      <c r="IU1005" s="162">
        <v>1421.43</v>
      </c>
      <c r="IV1005" s="198">
        <f>1421.43*1.045</f>
        <v>1485.39</v>
      </c>
    </row>
    <row r="1006" spans="1:256" ht="44.25" hidden="1" customHeight="1" x14ac:dyDescent="0.25">
      <c r="A1006" s="219" t="s">
        <v>1200</v>
      </c>
      <c r="B1006" s="293" t="s">
        <v>1201</v>
      </c>
      <c r="C1006" s="277" t="s">
        <v>240</v>
      </c>
      <c r="D1006" s="295">
        <v>1181.54</v>
      </c>
      <c r="E1006" s="164">
        <f t="shared" si="96"/>
        <v>212.68</v>
      </c>
      <c r="F1006" s="220">
        <f t="shared" si="95"/>
        <v>1394.22</v>
      </c>
      <c r="EH1006" s="3"/>
      <c r="GS1006" s="3"/>
      <c r="GT1006" s="4"/>
      <c r="GU1006" s="4"/>
      <c r="GV1006" s="4"/>
      <c r="GW1006" s="4"/>
      <c r="GX1006" s="4"/>
      <c r="GY1006" s="4"/>
      <c r="GZ1006" s="4"/>
      <c r="HA1006" s="4"/>
      <c r="IU1006" s="162">
        <v>1130.6600000000001</v>
      </c>
      <c r="IV1006" s="198">
        <f>1130.66*1.045</f>
        <v>1181.54</v>
      </c>
    </row>
    <row r="1007" spans="1:256" ht="46.5" hidden="1" customHeight="1" x14ac:dyDescent="0.25">
      <c r="A1007" s="219" t="s">
        <v>1202</v>
      </c>
      <c r="B1007" s="293" t="s">
        <v>1203</v>
      </c>
      <c r="C1007" s="277" t="s">
        <v>240</v>
      </c>
      <c r="D1007" s="295">
        <v>1414.78</v>
      </c>
      <c r="E1007" s="164">
        <f t="shared" si="96"/>
        <v>254.66</v>
      </c>
      <c r="F1007" s="220">
        <f t="shared" si="95"/>
        <v>1669.44</v>
      </c>
      <c r="EH1007" s="3"/>
      <c r="GS1007" s="3"/>
      <c r="GT1007" s="4"/>
      <c r="GU1007" s="4"/>
      <c r="GV1007" s="4"/>
      <c r="GW1007" s="4"/>
      <c r="GX1007" s="4"/>
      <c r="GY1007" s="4"/>
      <c r="GZ1007" s="4"/>
      <c r="HA1007" s="4"/>
      <c r="IU1007" s="162">
        <v>1353.86</v>
      </c>
      <c r="IV1007" s="198">
        <f>1353.86*1.045</f>
        <v>1414.78</v>
      </c>
    </row>
    <row r="1008" spans="1:256" ht="33.75" hidden="1" customHeight="1" x14ac:dyDescent="0.25">
      <c r="A1008" s="219" t="s">
        <v>1204</v>
      </c>
      <c r="B1008" s="293" t="s">
        <v>1205</v>
      </c>
      <c r="C1008" s="277" t="s">
        <v>240</v>
      </c>
      <c r="D1008" s="295">
        <v>1206.5999999999999</v>
      </c>
      <c r="E1008" s="164">
        <f t="shared" si="96"/>
        <v>217.19</v>
      </c>
      <c r="F1008" s="220">
        <f t="shared" si="95"/>
        <v>1423.79</v>
      </c>
      <c r="EH1008" s="3"/>
      <c r="GS1008" s="3"/>
      <c r="GT1008" s="4"/>
      <c r="GU1008" s="4"/>
      <c r="GV1008" s="4"/>
      <c r="GW1008" s="4"/>
      <c r="GX1008" s="4"/>
      <c r="GY1008" s="4"/>
      <c r="GZ1008" s="4"/>
      <c r="HA1008" s="4"/>
      <c r="IU1008" s="162">
        <v>1154.6400000000001</v>
      </c>
      <c r="IV1008" s="198">
        <f>1154.64*1.045</f>
        <v>1206.5999999999999</v>
      </c>
    </row>
    <row r="1009" spans="1:256" ht="46.5" hidden="1" customHeight="1" x14ac:dyDescent="0.25">
      <c r="A1009" s="219" t="s">
        <v>1206</v>
      </c>
      <c r="B1009" s="293" t="s">
        <v>1207</v>
      </c>
      <c r="C1009" s="277" t="s">
        <v>240</v>
      </c>
      <c r="D1009" s="295">
        <v>1373.99</v>
      </c>
      <c r="E1009" s="164">
        <f t="shared" si="96"/>
        <v>247.32</v>
      </c>
      <c r="F1009" s="220">
        <f t="shared" si="95"/>
        <v>1621.31</v>
      </c>
      <c r="EH1009" s="3"/>
      <c r="GS1009" s="3"/>
      <c r="GT1009" s="4"/>
      <c r="GU1009" s="4"/>
      <c r="GV1009" s="4"/>
      <c r="GW1009" s="4"/>
      <c r="GX1009" s="4"/>
      <c r="GY1009" s="4"/>
      <c r="GZ1009" s="4"/>
      <c r="HA1009" s="4"/>
      <c r="IU1009" s="162">
        <v>1314.82</v>
      </c>
      <c r="IV1009" s="198">
        <f>1314.82*1.045</f>
        <v>1373.99</v>
      </c>
    </row>
    <row r="1010" spans="1:256" ht="43.5" hidden="1" customHeight="1" x14ac:dyDescent="0.25">
      <c r="A1010" s="219" t="s">
        <v>1208</v>
      </c>
      <c r="B1010" s="293" t="s">
        <v>1209</v>
      </c>
      <c r="C1010" s="277" t="s">
        <v>240</v>
      </c>
      <c r="D1010" s="295">
        <v>1164.6300000000001</v>
      </c>
      <c r="E1010" s="164">
        <f t="shared" si="96"/>
        <v>209.63</v>
      </c>
      <c r="F1010" s="220">
        <f t="shared" si="95"/>
        <v>1374.26</v>
      </c>
      <c r="EH1010" s="3"/>
      <c r="GS1010" s="3"/>
      <c r="GT1010" s="4"/>
      <c r="GU1010" s="4"/>
      <c r="GV1010" s="4"/>
      <c r="GW1010" s="4"/>
      <c r="GX1010" s="4"/>
      <c r="GY1010" s="4"/>
      <c r="GZ1010" s="4"/>
      <c r="HA1010" s="4"/>
      <c r="IU1010" s="162">
        <v>1114.48</v>
      </c>
      <c r="IV1010" s="198">
        <f>1114.48*1.045</f>
        <v>1164.6300000000001</v>
      </c>
    </row>
    <row r="1011" spans="1:256" ht="54.75" hidden="1" customHeight="1" thickBot="1" x14ac:dyDescent="0.3">
      <c r="A1011" s="221" t="s">
        <v>1210</v>
      </c>
      <c r="B1011" s="222" t="s">
        <v>1211</v>
      </c>
      <c r="C1011" s="223" t="s">
        <v>240</v>
      </c>
      <c r="D1011" s="121">
        <v>992.66</v>
      </c>
      <c r="E1011" s="224">
        <f t="shared" si="96"/>
        <v>178.68</v>
      </c>
      <c r="F1011" s="225">
        <f t="shared" si="95"/>
        <v>1171.3399999999999</v>
      </c>
      <c r="EH1011" s="3"/>
      <c r="GS1011" s="3"/>
      <c r="GT1011" s="4"/>
      <c r="GU1011" s="4"/>
      <c r="GV1011" s="4"/>
      <c r="GW1011" s="4"/>
      <c r="GX1011" s="4"/>
      <c r="GY1011" s="4"/>
      <c r="GZ1011" s="4"/>
      <c r="HA1011" s="4"/>
      <c r="IU1011" s="121">
        <v>949.91</v>
      </c>
      <c r="IV1011" s="198">
        <f>949.91*1.045</f>
        <v>992.66</v>
      </c>
    </row>
    <row r="1012" spans="1:256" ht="28.5" customHeight="1" x14ac:dyDescent="0.2">
      <c r="A1012" s="196" t="s">
        <v>1811</v>
      </c>
      <c r="B1012" s="175" t="s">
        <v>1748</v>
      </c>
      <c r="C1012" s="298" t="s">
        <v>230</v>
      </c>
      <c r="D1012" s="295">
        <f>2901.65*1.05</f>
        <v>3046.73</v>
      </c>
      <c r="E1012" s="16">
        <f t="shared" ref="E1012" si="97">D1012*20%</f>
        <v>609.35</v>
      </c>
      <c r="F1012" s="164">
        <f t="shared" ref="F1012" si="98">D1012+E1012</f>
        <v>3656.08</v>
      </c>
      <c r="EH1012" s="3"/>
      <c r="GS1012" s="3"/>
      <c r="GT1012" s="4"/>
      <c r="GU1012" s="4"/>
      <c r="GV1012" s="4"/>
      <c r="GW1012" s="4"/>
      <c r="GX1012" s="4"/>
      <c r="GY1012" s="4"/>
      <c r="GZ1012" s="4"/>
      <c r="HA1012" s="4"/>
      <c r="IU1012" s="143"/>
      <c r="IV1012" s="198"/>
    </row>
    <row r="1013" spans="1:256" ht="30" customHeight="1" x14ac:dyDescent="0.25">
      <c r="A1013" s="226"/>
      <c r="B1013" s="227"/>
      <c r="C1013" s="228"/>
      <c r="D1013" s="143"/>
      <c r="E1013" s="229"/>
      <c r="F1013" s="229"/>
      <c r="EH1013" s="3"/>
      <c r="GS1013" s="3"/>
      <c r="GT1013" s="4"/>
      <c r="GU1013" s="4"/>
      <c r="GV1013" s="4"/>
      <c r="GW1013" s="4"/>
      <c r="GX1013" s="4"/>
      <c r="GY1013" s="4"/>
      <c r="GZ1013" s="4"/>
      <c r="HA1013" s="4"/>
    </row>
    <row r="1014" spans="1:256" ht="40.5" customHeight="1" x14ac:dyDescent="0.2">
      <c r="A1014" s="336" t="s">
        <v>1762</v>
      </c>
      <c r="B1014" s="336"/>
      <c r="C1014" s="336"/>
      <c r="D1014" s="336"/>
      <c r="E1014" s="336"/>
      <c r="F1014" s="336"/>
      <c r="EH1014" s="3"/>
      <c r="GS1014" s="3"/>
      <c r="GT1014" s="4"/>
      <c r="GU1014" s="4"/>
      <c r="GV1014" s="4"/>
      <c r="GW1014" s="4"/>
      <c r="GX1014" s="4"/>
      <c r="GY1014" s="4"/>
      <c r="GZ1014" s="4"/>
      <c r="HA1014" s="4"/>
    </row>
    <row r="1015" spans="1:256" ht="10.5" customHeight="1" x14ac:dyDescent="0.2">
      <c r="A1015" s="291"/>
      <c r="B1015" s="291"/>
      <c r="C1015" s="291"/>
      <c r="D1015" s="291"/>
      <c r="E1015" s="291"/>
      <c r="F1015" s="291"/>
      <c r="EH1015" s="3"/>
      <c r="GS1015" s="3"/>
      <c r="GT1015" s="4"/>
      <c r="GU1015" s="4"/>
      <c r="GV1015" s="4"/>
      <c r="GW1015" s="4"/>
      <c r="GX1015" s="4"/>
      <c r="GY1015" s="4"/>
      <c r="GZ1015" s="4"/>
      <c r="HA1015" s="4"/>
    </row>
    <row r="1016" spans="1:256" ht="63" x14ac:dyDescent="0.2">
      <c r="A1016" s="292" t="s">
        <v>1071</v>
      </c>
      <c r="B1016" s="296" t="s">
        <v>1072</v>
      </c>
      <c r="C1016" s="296" t="s">
        <v>6</v>
      </c>
      <c r="D1016" s="296" t="s">
        <v>7</v>
      </c>
      <c r="E1016" s="296" t="s">
        <v>1073</v>
      </c>
      <c r="F1016" s="296" t="s">
        <v>1074</v>
      </c>
      <c r="EH1016" s="3"/>
      <c r="GS1016" s="3"/>
      <c r="GT1016" s="4"/>
      <c r="GU1016" s="4"/>
      <c r="GV1016" s="4"/>
      <c r="GW1016" s="4"/>
      <c r="GX1016" s="4"/>
      <c r="GY1016" s="4"/>
      <c r="GZ1016" s="4"/>
      <c r="HA1016" s="4"/>
    </row>
    <row r="1017" spans="1:256" ht="15.75" x14ac:dyDescent="0.2">
      <c r="A1017" s="292">
        <v>1</v>
      </c>
      <c r="B1017" s="296">
        <v>2</v>
      </c>
      <c r="C1017" s="296">
        <v>3</v>
      </c>
      <c r="D1017" s="296">
        <v>4</v>
      </c>
      <c r="E1017" s="296">
        <v>5</v>
      </c>
      <c r="F1017" s="296">
        <v>6</v>
      </c>
      <c r="EH1017" s="3"/>
      <c r="GS1017" s="3"/>
      <c r="GT1017" s="4"/>
      <c r="GU1017" s="4"/>
      <c r="GV1017" s="4"/>
      <c r="GW1017" s="4"/>
      <c r="GX1017" s="4"/>
      <c r="GY1017" s="4"/>
      <c r="GZ1017" s="4"/>
      <c r="HA1017" s="4"/>
    </row>
    <row r="1018" spans="1:256" ht="15.75" customHeight="1" x14ac:dyDescent="0.2">
      <c r="A1018" s="337" t="s">
        <v>1212</v>
      </c>
      <c r="B1018" s="337"/>
      <c r="C1018" s="337"/>
      <c r="D1018" s="337"/>
      <c r="E1018" s="337"/>
      <c r="F1018" s="337"/>
      <c r="EH1018" s="3"/>
      <c r="GS1018" s="3"/>
      <c r="GT1018" s="4"/>
      <c r="GU1018" s="4"/>
      <c r="GV1018" s="4"/>
      <c r="GW1018" s="4"/>
      <c r="GX1018" s="4"/>
      <c r="GY1018" s="4"/>
      <c r="GZ1018" s="4"/>
      <c r="HA1018" s="4"/>
    </row>
    <row r="1019" spans="1:256" ht="15.75" x14ac:dyDescent="0.2">
      <c r="A1019" s="230" t="s">
        <v>11</v>
      </c>
      <c r="B1019" s="285" t="s">
        <v>1214</v>
      </c>
      <c r="C1019" s="298" t="s">
        <v>230</v>
      </c>
      <c r="D1019" s="295">
        <v>301.67</v>
      </c>
      <c r="E1019" s="16">
        <f t="shared" ref="E1019:E1050" si="99">D1019*20%</f>
        <v>60.33</v>
      </c>
      <c r="F1019" s="164">
        <f t="shared" ref="F1019:F1050" si="100">D1019+E1019</f>
        <v>362</v>
      </c>
      <c r="EH1019" s="3"/>
      <c r="GS1019" s="3"/>
      <c r="GT1019" s="4"/>
      <c r="GU1019" s="4"/>
      <c r="GV1019" s="4"/>
      <c r="GW1019" s="4"/>
      <c r="GX1019" s="4"/>
      <c r="GY1019" s="4"/>
      <c r="GZ1019" s="4"/>
      <c r="HA1019" s="4"/>
    </row>
    <row r="1020" spans="1:256" ht="39.75" customHeight="1" x14ac:dyDescent="0.2">
      <c r="A1020" s="230" t="s">
        <v>23</v>
      </c>
      <c r="B1020" s="285" t="s">
        <v>1215</v>
      </c>
      <c r="C1020" s="298" t="s">
        <v>230</v>
      </c>
      <c r="D1020" s="295">
        <v>764.71</v>
      </c>
      <c r="E1020" s="16">
        <f t="shared" si="99"/>
        <v>152.94</v>
      </c>
      <c r="F1020" s="164">
        <f t="shared" si="100"/>
        <v>917.65</v>
      </c>
      <c r="EH1020" s="3"/>
      <c r="GS1020" s="3"/>
      <c r="GT1020" s="4"/>
      <c r="GU1020" s="4"/>
      <c r="GV1020" s="4"/>
      <c r="GW1020" s="4"/>
      <c r="GX1020" s="4"/>
      <c r="GY1020" s="4"/>
      <c r="GZ1020" s="4"/>
      <c r="HA1020" s="4"/>
    </row>
    <row r="1021" spans="1:256" ht="30" customHeight="1" x14ac:dyDescent="0.2">
      <c r="A1021" s="233" t="s">
        <v>569</v>
      </c>
      <c r="B1021" s="285" t="s">
        <v>1216</v>
      </c>
      <c r="C1021" s="298" t="s">
        <v>230</v>
      </c>
      <c r="D1021" s="295">
        <v>373.02</v>
      </c>
      <c r="E1021" s="16">
        <f t="shared" si="99"/>
        <v>74.599999999999994</v>
      </c>
      <c r="F1021" s="164">
        <f t="shared" si="100"/>
        <v>447.62</v>
      </c>
      <c r="EH1021" s="3"/>
      <c r="GS1021" s="3"/>
      <c r="GT1021" s="4"/>
      <c r="GU1021" s="4"/>
      <c r="GV1021" s="4"/>
      <c r="GW1021" s="4"/>
      <c r="GX1021" s="4"/>
      <c r="GY1021" s="4"/>
      <c r="GZ1021" s="4"/>
      <c r="HA1021" s="4"/>
    </row>
    <row r="1022" spans="1:256" ht="32.25" customHeight="1" x14ac:dyDescent="0.2">
      <c r="A1022" s="266" t="s">
        <v>571</v>
      </c>
      <c r="B1022" s="285" t="s">
        <v>1217</v>
      </c>
      <c r="C1022" s="298" t="s">
        <v>230</v>
      </c>
      <c r="D1022" s="295">
        <v>359.49</v>
      </c>
      <c r="E1022" s="16">
        <f t="shared" si="99"/>
        <v>71.900000000000006</v>
      </c>
      <c r="F1022" s="164">
        <f t="shared" si="100"/>
        <v>431.39</v>
      </c>
      <c r="EH1022" s="3"/>
      <c r="GS1022" s="3"/>
      <c r="GT1022" s="4"/>
      <c r="GU1022" s="4"/>
      <c r="GV1022" s="4"/>
      <c r="GW1022" s="4"/>
      <c r="GX1022" s="4"/>
      <c r="GY1022" s="4"/>
      <c r="GZ1022" s="4"/>
      <c r="HA1022" s="4"/>
    </row>
    <row r="1023" spans="1:256" ht="21" customHeight="1" x14ac:dyDescent="0.2">
      <c r="A1023" s="230" t="s">
        <v>26</v>
      </c>
      <c r="B1023" s="285" t="s">
        <v>1218</v>
      </c>
      <c r="C1023" s="298" t="s">
        <v>230</v>
      </c>
      <c r="D1023" s="295">
        <v>489.61</v>
      </c>
      <c r="E1023" s="16">
        <f t="shared" si="99"/>
        <v>97.92</v>
      </c>
      <c r="F1023" s="164">
        <f t="shared" si="100"/>
        <v>587.53</v>
      </c>
      <c r="EH1023" s="3"/>
      <c r="GS1023" s="3"/>
      <c r="GT1023" s="4"/>
      <c r="GU1023" s="4"/>
      <c r="GV1023" s="4"/>
      <c r="GW1023" s="4"/>
      <c r="GX1023" s="4"/>
      <c r="GY1023" s="4"/>
      <c r="GZ1023" s="4"/>
      <c r="HA1023" s="4"/>
    </row>
    <row r="1024" spans="1:256" ht="51" customHeight="1" x14ac:dyDescent="0.2">
      <c r="A1024" s="230" t="s">
        <v>28</v>
      </c>
      <c r="B1024" s="285" t="s">
        <v>1219</v>
      </c>
      <c r="C1024" s="298" t="s">
        <v>230</v>
      </c>
      <c r="D1024" s="295">
        <v>869.62</v>
      </c>
      <c r="E1024" s="16">
        <f t="shared" si="99"/>
        <v>173.92</v>
      </c>
      <c r="F1024" s="164">
        <f t="shared" si="100"/>
        <v>1043.54</v>
      </c>
      <c r="EH1024" s="3" t="s">
        <v>1220</v>
      </c>
      <c r="GS1024" s="3"/>
      <c r="GT1024" s="4"/>
      <c r="GU1024" s="4"/>
      <c r="GV1024" s="4"/>
      <c r="GW1024" s="4"/>
      <c r="GX1024" s="4"/>
      <c r="GY1024" s="4"/>
      <c r="GZ1024" s="4"/>
      <c r="HA1024" s="4"/>
    </row>
    <row r="1025" spans="1:209" ht="39.75" customHeight="1" x14ac:dyDescent="0.2">
      <c r="A1025" s="230" t="s">
        <v>633</v>
      </c>
      <c r="B1025" s="285" t="s">
        <v>1221</v>
      </c>
      <c r="C1025" s="298" t="s">
        <v>230</v>
      </c>
      <c r="D1025" s="295">
        <v>404.87</v>
      </c>
      <c r="E1025" s="16">
        <f t="shared" si="99"/>
        <v>80.97</v>
      </c>
      <c r="F1025" s="164">
        <f t="shared" si="100"/>
        <v>485.84</v>
      </c>
      <c r="EH1025" s="3"/>
      <c r="GS1025" s="3"/>
      <c r="GT1025" s="4"/>
      <c r="GU1025" s="4"/>
      <c r="GV1025" s="4"/>
      <c r="GW1025" s="4"/>
      <c r="GX1025" s="4"/>
      <c r="GY1025" s="4"/>
      <c r="GZ1025" s="4"/>
      <c r="HA1025" s="4"/>
    </row>
    <row r="1026" spans="1:209" ht="51.75" customHeight="1" x14ac:dyDescent="0.2">
      <c r="A1026" s="230" t="s">
        <v>30</v>
      </c>
      <c r="B1026" s="285" t="s">
        <v>1222</v>
      </c>
      <c r="C1026" s="298" t="s">
        <v>230</v>
      </c>
      <c r="D1026" s="295">
        <v>1071.7</v>
      </c>
      <c r="E1026" s="16">
        <f t="shared" si="99"/>
        <v>214.34</v>
      </c>
      <c r="F1026" s="164">
        <f t="shared" si="100"/>
        <v>1286.04</v>
      </c>
      <c r="EH1026" s="3"/>
      <c r="GS1026" s="3"/>
      <c r="GT1026" s="4"/>
      <c r="GU1026" s="4"/>
      <c r="GV1026" s="4"/>
      <c r="GW1026" s="4"/>
      <c r="GX1026" s="4"/>
      <c r="GY1026" s="4"/>
      <c r="GZ1026" s="4"/>
      <c r="HA1026" s="4"/>
    </row>
    <row r="1027" spans="1:209" ht="43.5" customHeight="1" x14ac:dyDescent="0.2">
      <c r="A1027" s="233" t="s">
        <v>645</v>
      </c>
      <c r="B1027" s="285" t="s">
        <v>1223</v>
      </c>
      <c r="C1027" s="298" t="s">
        <v>230</v>
      </c>
      <c r="D1027" s="295">
        <v>322.02999999999997</v>
      </c>
      <c r="E1027" s="16">
        <f t="shared" si="99"/>
        <v>64.41</v>
      </c>
      <c r="F1027" s="164">
        <f t="shared" si="100"/>
        <v>386.44</v>
      </c>
      <c r="EH1027" s="3"/>
      <c r="GS1027" s="3"/>
      <c r="GT1027" s="4"/>
      <c r="GU1027" s="4"/>
      <c r="GV1027" s="4"/>
      <c r="GW1027" s="4"/>
      <c r="GX1027" s="4"/>
      <c r="GY1027" s="4"/>
      <c r="GZ1027" s="4"/>
      <c r="HA1027" s="4"/>
    </row>
    <row r="1028" spans="1:209" ht="51.75" customHeight="1" x14ac:dyDescent="0.2">
      <c r="A1028" s="230" t="s">
        <v>32</v>
      </c>
      <c r="B1028" s="285" t="s">
        <v>1224</v>
      </c>
      <c r="C1028" s="298" t="s">
        <v>230</v>
      </c>
      <c r="D1028" s="295">
        <v>981.45</v>
      </c>
      <c r="E1028" s="16">
        <f t="shared" si="99"/>
        <v>196.29</v>
      </c>
      <c r="F1028" s="164">
        <f t="shared" si="100"/>
        <v>1177.74</v>
      </c>
      <c r="EH1028" s="3"/>
      <c r="GS1028" s="3"/>
      <c r="GT1028" s="4"/>
      <c r="GU1028" s="4"/>
      <c r="GV1028" s="4"/>
      <c r="GW1028" s="4"/>
      <c r="GX1028" s="4"/>
      <c r="GY1028" s="4"/>
      <c r="GZ1028" s="4"/>
      <c r="HA1028" s="4"/>
    </row>
    <row r="1029" spans="1:209" ht="39.75" customHeight="1" x14ac:dyDescent="0.2">
      <c r="A1029" s="233" t="s">
        <v>263</v>
      </c>
      <c r="B1029" s="285" t="s">
        <v>1225</v>
      </c>
      <c r="C1029" s="298" t="s">
        <v>230</v>
      </c>
      <c r="D1029" s="295">
        <v>296.61</v>
      </c>
      <c r="E1029" s="16">
        <f t="shared" si="99"/>
        <v>59.32</v>
      </c>
      <c r="F1029" s="164">
        <f t="shared" si="100"/>
        <v>355.93</v>
      </c>
      <c r="EH1029" s="3"/>
      <c r="GS1029" s="3"/>
      <c r="GT1029" s="4"/>
      <c r="GU1029" s="4"/>
      <c r="GV1029" s="4"/>
      <c r="GW1029" s="4"/>
      <c r="GX1029" s="4"/>
      <c r="GY1029" s="4"/>
      <c r="GZ1029" s="4"/>
      <c r="HA1029" s="4"/>
    </row>
    <row r="1030" spans="1:209" ht="31.5" x14ac:dyDescent="0.2">
      <c r="A1030" s="230" t="s">
        <v>34</v>
      </c>
      <c r="B1030" s="285" t="s">
        <v>1226</v>
      </c>
      <c r="C1030" s="298" t="s">
        <v>230</v>
      </c>
      <c r="D1030" s="295">
        <v>756.82</v>
      </c>
      <c r="E1030" s="16">
        <f t="shared" si="99"/>
        <v>151.36000000000001</v>
      </c>
      <c r="F1030" s="164">
        <f t="shared" si="100"/>
        <v>908.18</v>
      </c>
      <c r="EH1030" s="3"/>
      <c r="GS1030" s="3"/>
      <c r="GT1030" s="4"/>
      <c r="GU1030" s="4"/>
      <c r="GV1030" s="4"/>
      <c r="GW1030" s="4"/>
      <c r="GX1030" s="4"/>
      <c r="GY1030" s="4"/>
      <c r="GZ1030" s="4"/>
      <c r="HA1030" s="4"/>
    </row>
    <row r="1031" spans="1:209" ht="27.75" x14ac:dyDescent="0.2">
      <c r="A1031" s="230" t="s">
        <v>36</v>
      </c>
      <c r="B1031" s="285" t="s">
        <v>1227</v>
      </c>
      <c r="C1031" s="298" t="s">
        <v>230</v>
      </c>
      <c r="D1031" s="295">
        <v>565.45000000000005</v>
      </c>
      <c r="E1031" s="16">
        <f t="shared" si="99"/>
        <v>113.09</v>
      </c>
      <c r="F1031" s="164">
        <f t="shared" si="100"/>
        <v>678.54</v>
      </c>
      <c r="EH1031" s="3"/>
      <c r="GS1031" s="3"/>
      <c r="GT1031" s="4"/>
      <c r="GU1031" s="4"/>
      <c r="GV1031" s="4"/>
      <c r="GW1031" s="4"/>
      <c r="GX1031" s="4"/>
      <c r="GY1031" s="4"/>
      <c r="GZ1031" s="4"/>
      <c r="HA1031" s="4"/>
    </row>
    <row r="1032" spans="1:209" ht="37.5" customHeight="1" x14ac:dyDescent="0.2">
      <c r="A1032" s="233" t="s">
        <v>711</v>
      </c>
      <c r="B1032" s="285" t="s">
        <v>1228</v>
      </c>
      <c r="C1032" s="298" t="s">
        <v>230</v>
      </c>
      <c r="D1032" s="295">
        <v>290.68</v>
      </c>
      <c r="E1032" s="16">
        <f t="shared" si="99"/>
        <v>58.14</v>
      </c>
      <c r="F1032" s="164">
        <f t="shared" si="100"/>
        <v>348.82</v>
      </c>
      <c r="G1032" s="231"/>
      <c r="EH1032" s="3"/>
      <c r="GS1032" s="3"/>
      <c r="GT1032" s="4"/>
      <c r="GU1032" s="4"/>
      <c r="GV1032" s="4"/>
      <c r="GW1032" s="4"/>
      <c r="GX1032" s="4"/>
      <c r="GY1032" s="4"/>
      <c r="GZ1032" s="4"/>
      <c r="HA1032" s="4"/>
    </row>
    <row r="1033" spans="1:209" ht="36" customHeight="1" x14ac:dyDescent="0.2">
      <c r="A1033" s="230" t="s">
        <v>38</v>
      </c>
      <c r="B1033" s="285" t="s">
        <v>1229</v>
      </c>
      <c r="C1033" s="298" t="s">
        <v>230</v>
      </c>
      <c r="D1033" s="295">
        <v>505.82</v>
      </c>
      <c r="E1033" s="16">
        <f t="shared" si="99"/>
        <v>101.16</v>
      </c>
      <c r="F1033" s="164">
        <f t="shared" si="100"/>
        <v>606.98</v>
      </c>
      <c r="EH1033" s="3"/>
      <c r="GS1033" s="3"/>
      <c r="GT1033" s="4"/>
      <c r="GU1033" s="4"/>
      <c r="GV1033" s="4"/>
      <c r="GW1033" s="4"/>
      <c r="GX1033" s="4"/>
      <c r="GY1033" s="4"/>
      <c r="GZ1033" s="4"/>
      <c r="HA1033" s="4"/>
    </row>
    <row r="1034" spans="1:209" ht="27.75" customHeight="1" x14ac:dyDescent="0.2">
      <c r="A1034" s="230" t="s">
        <v>41</v>
      </c>
      <c r="B1034" s="285" t="s">
        <v>1230</v>
      </c>
      <c r="C1034" s="298" t="s">
        <v>230</v>
      </c>
      <c r="D1034" s="295">
        <v>776.29</v>
      </c>
      <c r="E1034" s="16">
        <f t="shared" si="99"/>
        <v>155.26</v>
      </c>
      <c r="F1034" s="164">
        <f t="shared" si="100"/>
        <v>931.55</v>
      </c>
      <c r="EH1034" s="3"/>
      <c r="GS1034" s="3"/>
      <c r="GT1034" s="4"/>
      <c r="GU1034" s="4"/>
      <c r="GV1034" s="4"/>
      <c r="GW1034" s="4"/>
      <c r="GX1034" s="4"/>
      <c r="GY1034" s="4"/>
      <c r="GZ1034" s="4"/>
      <c r="HA1034" s="4"/>
    </row>
    <row r="1035" spans="1:209" ht="37.5" customHeight="1" x14ac:dyDescent="0.2">
      <c r="A1035" s="233" t="s">
        <v>734</v>
      </c>
      <c r="B1035" s="285" t="s">
        <v>1231</v>
      </c>
      <c r="C1035" s="298" t="s">
        <v>230</v>
      </c>
      <c r="D1035" s="295">
        <v>351.65</v>
      </c>
      <c r="E1035" s="16">
        <f t="shared" si="99"/>
        <v>70.33</v>
      </c>
      <c r="F1035" s="164">
        <f t="shared" si="100"/>
        <v>421.98</v>
      </c>
      <c r="EH1035" s="3"/>
      <c r="GS1035" s="3"/>
      <c r="GT1035" s="4"/>
      <c r="GU1035" s="4"/>
      <c r="GV1035" s="4"/>
      <c r="GW1035" s="4"/>
      <c r="GX1035" s="4"/>
      <c r="GY1035" s="4"/>
      <c r="GZ1035" s="4"/>
      <c r="HA1035" s="4"/>
    </row>
    <row r="1036" spans="1:209" ht="33.75" customHeight="1" x14ac:dyDescent="0.2">
      <c r="A1036" s="230" t="s">
        <v>43</v>
      </c>
      <c r="B1036" s="285" t="s">
        <v>1232</v>
      </c>
      <c r="C1036" s="298" t="s">
        <v>230</v>
      </c>
      <c r="D1036" s="295">
        <v>945.9</v>
      </c>
      <c r="E1036" s="16">
        <f t="shared" si="99"/>
        <v>189.18</v>
      </c>
      <c r="F1036" s="164">
        <f t="shared" si="100"/>
        <v>1135.08</v>
      </c>
      <c r="EH1036" s="3"/>
      <c r="GS1036" s="3"/>
      <c r="GT1036" s="4"/>
      <c r="GU1036" s="4"/>
      <c r="GV1036" s="4"/>
      <c r="GW1036" s="4"/>
      <c r="GX1036" s="4"/>
      <c r="GY1036" s="4"/>
      <c r="GZ1036" s="4"/>
      <c r="HA1036" s="4"/>
    </row>
    <row r="1037" spans="1:209" ht="39" customHeight="1" x14ac:dyDescent="0.2">
      <c r="A1037" s="233" t="s">
        <v>761</v>
      </c>
      <c r="B1037" s="300" t="s">
        <v>1233</v>
      </c>
      <c r="C1037" s="298" t="s">
        <v>230</v>
      </c>
      <c r="D1037" s="295">
        <v>336.44</v>
      </c>
      <c r="E1037" s="16">
        <f t="shared" si="99"/>
        <v>67.290000000000006</v>
      </c>
      <c r="F1037" s="164">
        <f t="shared" si="100"/>
        <v>403.73</v>
      </c>
      <c r="EH1037" s="3"/>
      <c r="GS1037" s="3"/>
      <c r="GT1037" s="4"/>
      <c r="GU1037" s="4"/>
      <c r="GV1037" s="4"/>
      <c r="GW1037" s="4"/>
      <c r="GX1037" s="4"/>
      <c r="GY1037" s="4"/>
      <c r="GZ1037" s="4"/>
      <c r="HA1037" s="4"/>
    </row>
    <row r="1038" spans="1:209" s="77" customFormat="1" ht="30.75" customHeight="1" x14ac:dyDescent="0.2">
      <c r="A1038" s="230" t="s">
        <v>45</v>
      </c>
      <c r="B1038" s="285" t="s">
        <v>1234</v>
      </c>
      <c r="C1038" s="298" t="s">
        <v>230</v>
      </c>
      <c r="D1038" s="295">
        <v>525.15</v>
      </c>
      <c r="E1038" s="16">
        <f t="shared" si="99"/>
        <v>105.03</v>
      </c>
      <c r="F1038" s="164">
        <f t="shared" si="100"/>
        <v>630.17999999999995</v>
      </c>
      <c r="G1038" s="2"/>
      <c r="EH1038" s="3"/>
      <c r="GS1038" s="232"/>
      <c r="GT1038" s="4"/>
      <c r="GU1038" s="4"/>
      <c r="GV1038" s="4"/>
      <c r="GW1038" s="4"/>
      <c r="GX1038" s="4"/>
      <c r="GY1038" s="4"/>
      <c r="GZ1038" s="4"/>
      <c r="HA1038" s="4"/>
    </row>
    <row r="1039" spans="1:209" ht="37.5" customHeight="1" x14ac:dyDescent="0.2">
      <c r="A1039" s="233" t="s">
        <v>786</v>
      </c>
      <c r="B1039" s="300" t="s">
        <v>1235</v>
      </c>
      <c r="C1039" s="298" t="s">
        <v>230</v>
      </c>
      <c r="D1039" s="295">
        <v>236.44</v>
      </c>
      <c r="E1039" s="16">
        <f t="shared" si="99"/>
        <v>47.29</v>
      </c>
      <c r="F1039" s="164">
        <f t="shared" si="100"/>
        <v>283.73</v>
      </c>
      <c r="EH1039" s="3"/>
      <c r="GS1039" s="3"/>
      <c r="GT1039" s="4"/>
      <c r="GU1039" s="4"/>
      <c r="GV1039" s="4"/>
      <c r="GW1039" s="4"/>
      <c r="GX1039" s="4"/>
      <c r="GY1039" s="4"/>
      <c r="GZ1039" s="4"/>
      <c r="HA1039" s="4"/>
    </row>
    <row r="1040" spans="1:209" ht="29.25" customHeight="1" x14ac:dyDescent="0.2">
      <c r="A1040" s="230" t="s">
        <v>47</v>
      </c>
      <c r="B1040" s="285" t="s">
        <v>1236</v>
      </c>
      <c r="C1040" s="298" t="s">
        <v>230</v>
      </c>
      <c r="D1040" s="295">
        <v>502.5</v>
      </c>
      <c r="E1040" s="16">
        <f t="shared" si="99"/>
        <v>100.5</v>
      </c>
      <c r="F1040" s="164">
        <f t="shared" si="100"/>
        <v>603</v>
      </c>
      <c r="EH1040" s="3"/>
      <c r="GS1040" s="3"/>
      <c r="GT1040" s="4"/>
      <c r="GU1040" s="4"/>
      <c r="GV1040" s="4"/>
      <c r="GW1040" s="4"/>
      <c r="GX1040" s="4"/>
      <c r="GY1040" s="4"/>
      <c r="GZ1040" s="4"/>
      <c r="HA1040" s="4"/>
    </row>
    <row r="1041" spans="1:209" ht="32.25" customHeight="1" x14ac:dyDescent="0.2">
      <c r="A1041" s="230" t="s">
        <v>49</v>
      </c>
      <c r="B1041" s="285" t="s">
        <v>1237</v>
      </c>
      <c r="C1041" s="298" t="s">
        <v>230</v>
      </c>
      <c r="D1041" s="295">
        <v>1310.22</v>
      </c>
      <c r="E1041" s="16">
        <f t="shared" si="99"/>
        <v>262.04000000000002</v>
      </c>
      <c r="F1041" s="164">
        <f t="shared" si="100"/>
        <v>1572.26</v>
      </c>
      <c r="EH1041" s="3"/>
      <c r="GS1041" s="3"/>
      <c r="GT1041" s="4"/>
      <c r="GU1041" s="4"/>
      <c r="GV1041" s="4"/>
      <c r="GW1041" s="4"/>
      <c r="GX1041" s="4"/>
      <c r="GY1041" s="4"/>
      <c r="GZ1041" s="4"/>
      <c r="HA1041" s="4"/>
    </row>
    <row r="1042" spans="1:209" ht="33.75" customHeight="1" x14ac:dyDescent="0.2">
      <c r="A1042" s="230" t="s">
        <v>51</v>
      </c>
      <c r="B1042" s="285" t="s">
        <v>1238</v>
      </c>
      <c r="C1042" s="298" t="s">
        <v>230</v>
      </c>
      <c r="D1042" s="295">
        <v>602.63</v>
      </c>
      <c r="E1042" s="16">
        <f t="shared" si="99"/>
        <v>120.53</v>
      </c>
      <c r="F1042" s="164">
        <f t="shared" si="100"/>
        <v>723.16</v>
      </c>
      <c r="EH1042" s="3"/>
      <c r="GS1042" s="3"/>
      <c r="GT1042" s="4"/>
      <c r="GU1042" s="4"/>
      <c r="GV1042" s="4"/>
      <c r="GW1042" s="4"/>
      <c r="GX1042" s="4"/>
      <c r="GY1042" s="4"/>
      <c r="GZ1042" s="4"/>
      <c r="HA1042" s="4"/>
    </row>
    <row r="1043" spans="1:209" ht="51" customHeight="1" x14ac:dyDescent="0.2">
      <c r="A1043" s="233" t="s">
        <v>865</v>
      </c>
      <c r="B1043" s="300" t="s">
        <v>1239</v>
      </c>
      <c r="C1043" s="298" t="s">
        <v>230</v>
      </c>
      <c r="D1043" s="295">
        <v>297.45999999999998</v>
      </c>
      <c r="E1043" s="16">
        <f t="shared" si="99"/>
        <v>59.49</v>
      </c>
      <c r="F1043" s="164">
        <f t="shared" si="100"/>
        <v>356.95</v>
      </c>
      <c r="EH1043" s="3"/>
      <c r="GS1043" s="3"/>
      <c r="GT1043" s="4"/>
      <c r="GU1043" s="4"/>
      <c r="GV1043" s="4"/>
      <c r="GW1043" s="4"/>
      <c r="GX1043" s="4"/>
      <c r="GY1043" s="4"/>
      <c r="GZ1043" s="4"/>
      <c r="HA1043" s="4"/>
    </row>
    <row r="1044" spans="1:209" ht="31.5" customHeight="1" x14ac:dyDescent="0.2">
      <c r="A1044" s="230" t="s">
        <v>53</v>
      </c>
      <c r="B1044" s="285" t="s">
        <v>1240</v>
      </c>
      <c r="C1044" s="298" t="s">
        <v>230</v>
      </c>
      <c r="D1044" s="295">
        <v>602.63</v>
      </c>
      <c r="E1044" s="16">
        <f t="shared" si="99"/>
        <v>120.53</v>
      </c>
      <c r="F1044" s="164">
        <f t="shared" si="100"/>
        <v>723.16</v>
      </c>
      <c r="EH1044" s="3"/>
      <c r="GS1044" s="3"/>
      <c r="GT1044" s="4"/>
      <c r="GU1044" s="4"/>
      <c r="GV1044" s="4"/>
      <c r="GW1044" s="4"/>
      <c r="GX1044" s="4"/>
      <c r="GY1044" s="4"/>
      <c r="GZ1044" s="4"/>
      <c r="HA1044" s="4"/>
    </row>
    <row r="1045" spans="1:209" ht="52.5" customHeight="1" x14ac:dyDescent="0.2">
      <c r="A1045" s="233" t="s">
        <v>874</v>
      </c>
      <c r="B1045" s="300" t="s">
        <v>1241</v>
      </c>
      <c r="C1045" s="298" t="s">
        <v>230</v>
      </c>
      <c r="D1045" s="295">
        <v>297.45999999999998</v>
      </c>
      <c r="E1045" s="16">
        <f t="shared" si="99"/>
        <v>59.49</v>
      </c>
      <c r="F1045" s="164">
        <f t="shared" si="100"/>
        <v>356.95</v>
      </c>
      <c r="EH1045" s="3"/>
      <c r="GS1045" s="3"/>
      <c r="GT1045" s="4"/>
      <c r="GU1045" s="4"/>
      <c r="GV1045" s="4"/>
      <c r="GW1045" s="4"/>
      <c r="GX1045" s="4"/>
      <c r="GY1045" s="4"/>
      <c r="GZ1045" s="4"/>
      <c r="HA1045" s="4"/>
    </row>
    <row r="1046" spans="1:209" ht="34.5" customHeight="1" x14ac:dyDescent="0.2">
      <c r="A1046" s="230" t="s">
        <v>55</v>
      </c>
      <c r="B1046" s="285" t="s">
        <v>1242</v>
      </c>
      <c r="C1046" s="298" t="s">
        <v>230</v>
      </c>
      <c r="D1046" s="295">
        <v>309.48</v>
      </c>
      <c r="E1046" s="16">
        <f t="shared" si="99"/>
        <v>61.9</v>
      </c>
      <c r="F1046" s="164">
        <f t="shared" si="100"/>
        <v>371.38</v>
      </c>
      <c r="EH1046" s="3"/>
      <c r="GS1046" s="3"/>
      <c r="GT1046" s="4"/>
      <c r="GU1046" s="4"/>
      <c r="GV1046" s="4"/>
      <c r="GW1046" s="4"/>
      <c r="GX1046" s="4"/>
      <c r="GY1046" s="4"/>
      <c r="GZ1046" s="4"/>
      <c r="HA1046" s="4"/>
    </row>
    <row r="1047" spans="1:209" ht="36.75" customHeight="1" x14ac:dyDescent="0.2">
      <c r="A1047" s="230" t="s">
        <v>57</v>
      </c>
      <c r="B1047" s="285" t="s">
        <v>1243</v>
      </c>
      <c r="C1047" s="298" t="s">
        <v>230</v>
      </c>
      <c r="D1047" s="295">
        <v>729.8</v>
      </c>
      <c r="E1047" s="16">
        <f t="shared" si="99"/>
        <v>145.96</v>
      </c>
      <c r="F1047" s="164">
        <f t="shared" si="100"/>
        <v>875.76</v>
      </c>
      <c r="EH1047" s="3"/>
      <c r="GS1047" s="3"/>
      <c r="GT1047" s="4"/>
      <c r="GU1047" s="4"/>
      <c r="GV1047" s="4"/>
      <c r="GW1047" s="4"/>
      <c r="GX1047" s="4"/>
      <c r="GY1047" s="4"/>
      <c r="GZ1047" s="4"/>
      <c r="HA1047" s="4"/>
    </row>
    <row r="1048" spans="1:209" ht="38.25" customHeight="1" x14ac:dyDescent="0.2">
      <c r="A1048" s="233" t="s">
        <v>979</v>
      </c>
      <c r="B1048" s="300" t="s">
        <v>1244</v>
      </c>
      <c r="C1048" s="298" t="s">
        <v>230</v>
      </c>
      <c r="D1048" s="295">
        <v>320.33999999999997</v>
      </c>
      <c r="E1048" s="16">
        <f t="shared" si="99"/>
        <v>64.069999999999993</v>
      </c>
      <c r="F1048" s="164">
        <f t="shared" si="100"/>
        <v>384.41</v>
      </c>
      <c r="EH1048" s="3"/>
      <c r="GS1048" s="3"/>
      <c r="GT1048" s="4"/>
      <c r="GU1048" s="4"/>
      <c r="GV1048" s="4"/>
      <c r="GW1048" s="4"/>
      <c r="GX1048" s="4"/>
      <c r="GY1048" s="4"/>
      <c r="GZ1048" s="4"/>
      <c r="HA1048" s="4"/>
    </row>
    <row r="1049" spans="1:209" ht="36" customHeight="1" x14ac:dyDescent="0.2">
      <c r="A1049" s="230" t="s">
        <v>59</v>
      </c>
      <c r="B1049" s="285" t="s">
        <v>1245</v>
      </c>
      <c r="C1049" s="298" t="s">
        <v>230</v>
      </c>
      <c r="D1049" s="295">
        <v>686.03</v>
      </c>
      <c r="E1049" s="16">
        <f t="shared" si="99"/>
        <v>137.21</v>
      </c>
      <c r="F1049" s="164">
        <f t="shared" si="100"/>
        <v>823.24</v>
      </c>
      <c r="EH1049" s="3"/>
      <c r="GS1049" s="3"/>
      <c r="GT1049" s="4"/>
      <c r="GU1049" s="4"/>
      <c r="GV1049" s="4"/>
      <c r="GW1049" s="4"/>
      <c r="GX1049" s="4"/>
      <c r="GY1049" s="4"/>
      <c r="GZ1049" s="4"/>
      <c r="HA1049" s="4"/>
    </row>
    <row r="1050" spans="1:209" ht="39.75" customHeight="1" x14ac:dyDescent="0.2">
      <c r="A1050" s="230" t="s">
        <v>61</v>
      </c>
      <c r="B1050" s="285" t="s">
        <v>1246</v>
      </c>
      <c r="C1050" s="298" t="s">
        <v>230</v>
      </c>
      <c r="D1050" s="295">
        <v>756.18</v>
      </c>
      <c r="E1050" s="16">
        <f t="shared" si="99"/>
        <v>151.24</v>
      </c>
      <c r="F1050" s="164">
        <f t="shared" si="100"/>
        <v>907.42</v>
      </c>
      <c r="EH1050" s="3" t="s">
        <v>1247</v>
      </c>
      <c r="GS1050" s="3"/>
      <c r="GT1050" s="4"/>
      <c r="GU1050" s="4"/>
      <c r="GV1050" s="4"/>
      <c r="GW1050" s="4"/>
      <c r="GX1050" s="4"/>
      <c r="GY1050" s="4"/>
      <c r="GZ1050" s="4"/>
      <c r="HA1050" s="4"/>
    </row>
    <row r="1051" spans="1:209" ht="20.25" customHeight="1" x14ac:dyDescent="0.2">
      <c r="A1051" s="230" t="s">
        <v>63</v>
      </c>
      <c r="B1051" s="313" t="s">
        <v>1248</v>
      </c>
      <c r="C1051" s="313"/>
      <c r="D1051" s="313"/>
      <c r="E1051" s="313"/>
      <c r="F1051" s="313"/>
      <c r="EH1051" s="3"/>
      <c r="GS1051" s="3"/>
      <c r="GT1051" s="4"/>
      <c r="GU1051" s="4"/>
      <c r="GV1051" s="4"/>
      <c r="GW1051" s="4"/>
      <c r="GX1051" s="4"/>
      <c r="GY1051" s="4"/>
      <c r="GZ1051" s="4"/>
      <c r="HA1051" s="4"/>
    </row>
    <row r="1052" spans="1:209" ht="15.75" x14ac:dyDescent="0.2">
      <c r="A1052" s="233" t="s">
        <v>1002</v>
      </c>
      <c r="B1052" s="285" t="s">
        <v>1249</v>
      </c>
      <c r="C1052" s="298" t="s">
        <v>230</v>
      </c>
      <c r="D1052" s="15">
        <v>846.93</v>
      </c>
      <c r="E1052" s="16">
        <f t="shared" ref="E1052:E1071" si="101">D1052*20%</f>
        <v>169.39</v>
      </c>
      <c r="F1052" s="164">
        <f t="shared" ref="F1052:F1071" si="102">D1052+E1052</f>
        <v>1016.32</v>
      </c>
      <c r="EH1052" s="3"/>
      <c r="GS1052" s="3"/>
      <c r="GT1052" s="4"/>
      <c r="GU1052" s="4"/>
      <c r="GV1052" s="4"/>
      <c r="GW1052" s="4"/>
      <c r="GX1052" s="4"/>
      <c r="GY1052" s="4"/>
      <c r="GZ1052" s="4"/>
      <c r="HA1052" s="4"/>
    </row>
    <row r="1053" spans="1:209" ht="37.5" customHeight="1" x14ac:dyDescent="0.2">
      <c r="A1053" s="233" t="s">
        <v>1812</v>
      </c>
      <c r="B1053" s="300" t="s">
        <v>1250</v>
      </c>
      <c r="C1053" s="298" t="s">
        <v>230</v>
      </c>
      <c r="D1053" s="15">
        <v>434.79</v>
      </c>
      <c r="E1053" s="16">
        <f t="shared" si="101"/>
        <v>86.96</v>
      </c>
      <c r="F1053" s="164">
        <f t="shared" si="102"/>
        <v>521.75</v>
      </c>
      <c r="EH1053" s="3"/>
      <c r="GS1053" s="3"/>
      <c r="GT1053" s="4"/>
      <c r="GU1053" s="4"/>
      <c r="GV1053" s="4"/>
      <c r="GW1053" s="4"/>
      <c r="GX1053" s="4"/>
      <c r="GY1053" s="4"/>
      <c r="GZ1053" s="4"/>
      <c r="HA1053" s="4"/>
    </row>
    <row r="1054" spans="1:209" ht="15.75" x14ac:dyDescent="0.2">
      <c r="A1054" s="233" t="s">
        <v>1006</v>
      </c>
      <c r="B1054" s="285" t="s">
        <v>1251</v>
      </c>
      <c r="C1054" s="298" t="s">
        <v>230</v>
      </c>
      <c r="D1054" s="15">
        <v>875.6</v>
      </c>
      <c r="E1054" s="16">
        <f t="shared" si="101"/>
        <v>175.12</v>
      </c>
      <c r="F1054" s="164">
        <f t="shared" si="102"/>
        <v>1050.72</v>
      </c>
      <c r="EH1054" s="3"/>
      <c r="GS1054" s="3"/>
      <c r="GT1054" s="4"/>
      <c r="GU1054" s="4"/>
      <c r="GV1054" s="4"/>
      <c r="GW1054" s="4"/>
      <c r="GX1054" s="4"/>
      <c r="GY1054" s="4"/>
      <c r="GZ1054" s="4"/>
      <c r="HA1054" s="4"/>
    </row>
    <row r="1055" spans="1:209" ht="35.25" customHeight="1" x14ac:dyDescent="0.2">
      <c r="A1055" s="233" t="s">
        <v>1008</v>
      </c>
      <c r="B1055" s="300" t="s">
        <v>1252</v>
      </c>
      <c r="C1055" s="298" t="s">
        <v>230</v>
      </c>
      <c r="D1055" s="15">
        <v>322.02999999999997</v>
      </c>
      <c r="E1055" s="16">
        <f t="shared" si="101"/>
        <v>64.41</v>
      </c>
      <c r="F1055" s="164">
        <f t="shared" si="102"/>
        <v>386.44</v>
      </c>
      <c r="EH1055" s="3"/>
      <c r="GS1055" s="3"/>
      <c r="GT1055" s="4"/>
      <c r="GU1055" s="4"/>
      <c r="GV1055" s="4"/>
      <c r="GW1055" s="4"/>
      <c r="GX1055" s="4"/>
      <c r="GY1055" s="4"/>
      <c r="GZ1055" s="4"/>
      <c r="HA1055" s="4"/>
    </row>
    <row r="1056" spans="1:209" ht="15.75" x14ac:dyDescent="0.2">
      <c r="A1056" s="233" t="s">
        <v>1011</v>
      </c>
      <c r="B1056" s="285" t="s">
        <v>1253</v>
      </c>
      <c r="C1056" s="298" t="s">
        <v>230</v>
      </c>
      <c r="D1056" s="15">
        <v>640.45000000000005</v>
      </c>
      <c r="E1056" s="16">
        <f t="shared" si="101"/>
        <v>128.09</v>
      </c>
      <c r="F1056" s="164">
        <f t="shared" si="102"/>
        <v>768.54</v>
      </c>
      <c r="EH1056" s="3"/>
      <c r="GS1056" s="3"/>
      <c r="GT1056" s="4"/>
      <c r="GU1056" s="4"/>
      <c r="GV1056" s="4"/>
      <c r="GW1056" s="4"/>
      <c r="GX1056" s="4"/>
      <c r="GY1056" s="4"/>
      <c r="GZ1056" s="4"/>
      <c r="HA1056" s="4"/>
    </row>
    <row r="1057" spans="1:209" ht="35.25" customHeight="1" x14ac:dyDescent="0.2">
      <c r="A1057" s="233" t="s">
        <v>1013</v>
      </c>
      <c r="B1057" s="300" t="s">
        <v>1254</v>
      </c>
      <c r="C1057" s="298" t="s">
        <v>230</v>
      </c>
      <c r="D1057" s="15">
        <v>322.02999999999997</v>
      </c>
      <c r="E1057" s="16">
        <f t="shared" si="101"/>
        <v>64.41</v>
      </c>
      <c r="F1057" s="164">
        <f t="shared" si="102"/>
        <v>386.44</v>
      </c>
      <c r="EH1057" s="3"/>
      <c r="GS1057" s="3"/>
      <c r="GT1057" s="4"/>
      <c r="GU1057" s="4"/>
      <c r="GV1057" s="4"/>
      <c r="GW1057" s="4"/>
      <c r="GX1057" s="4"/>
      <c r="GY1057" s="4"/>
      <c r="GZ1057" s="4"/>
      <c r="HA1057" s="4"/>
    </row>
    <row r="1058" spans="1:209" ht="15.75" x14ac:dyDescent="0.2">
      <c r="A1058" s="233" t="s">
        <v>1015</v>
      </c>
      <c r="B1058" s="285" t="s">
        <v>1255</v>
      </c>
      <c r="C1058" s="298" t="s">
        <v>230</v>
      </c>
      <c r="D1058" s="15">
        <v>791.31</v>
      </c>
      <c r="E1058" s="16">
        <f t="shared" si="101"/>
        <v>158.26</v>
      </c>
      <c r="F1058" s="164">
        <f t="shared" si="102"/>
        <v>949.57</v>
      </c>
      <c r="EH1058" s="3"/>
      <c r="GS1058" s="3"/>
      <c r="GT1058" s="4"/>
      <c r="GU1058" s="4"/>
      <c r="GV1058" s="4"/>
      <c r="GW1058" s="4"/>
      <c r="GX1058" s="4"/>
      <c r="GY1058" s="4"/>
      <c r="GZ1058" s="4"/>
      <c r="HA1058" s="4"/>
    </row>
    <row r="1059" spans="1:209" ht="55.5" customHeight="1" x14ac:dyDescent="0.2">
      <c r="A1059" s="233" t="s">
        <v>1017</v>
      </c>
      <c r="B1059" s="300" t="s">
        <v>1256</v>
      </c>
      <c r="C1059" s="298" t="s">
        <v>230</v>
      </c>
      <c r="D1059" s="15">
        <v>401.7</v>
      </c>
      <c r="E1059" s="16">
        <f t="shared" si="101"/>
        <v>80.34</v>
      </c>
      <c r="F1059" s="164">
        <f t="shared" si="102"/>
        <v>482.04</v>
      </c>
      <c r="EH1059" s="3"/>
      <c r="GS1059" s="3"/>
      <c r="GT1059" s="4"/>
      <c r="GU1059" s="4"/>
      <c r="GV1059" s="4"/>
      <c r="GW1059" s="4"/>
      <c r="GX1059" s="4"/>
      <c r="GY1059" s="4"/>
      <c r="GZ1059" s="4"/>
      <c r="HA1059" s="4"/>
    </row>
    <row r="1060" spans="1:209" ht="19.5" customHeight="1" x14ac:dyDescent="0.2">
      <c r="A1060" s="233" t="s">
        <v>1019</v>
      </c>
      <c r="B1060" s="285" t="s">
        <v>1257</v>
      </c>
      <c r="C1060" s="298" t="s">
        <v>230</v>
      </c>
      <c r="D1060" s="15">
        <v>777.67</v>
      </c>
      <c r="E1060" s="16">
        <f t="shared" si="101"/>
        <v>155.53</v>
      </c>
      <c r="F1060" s="164">
        <f t="shared" si="102"/>
        <v>933.2</v>
      </c>
      <c r="EH1060" s="3"/>
      <c r="GS1060" s="3"/>
      <c r="GT1060" s="4"/>
      <c r="GU1060" s="4"/>
      <c r="GV1060" s="4"/>
      <c r="GW1060" s="4"/>
      <c r="GX1060" s="4"/>
      <c r="GY1060" s="4"/>
      <c r="GZ1060" s="4"/>
      <c r="HA1060" s="4"/>
    </row>
    <row r="1061" spans="1:209" ht="55.5" customHeight="1" x14ac:dyDescent="0.2">
      <c r="A1061" s="233" t="s">
        <v>1021</v>
      </c>
      <c r="B1061" s="300" t="s">
        <v>1258</v>
      </c>
      <c r="C1061" s="298" t="s">
        <v>230</v>
      </c>
      <c r="D1061" s="15">
        <v>394.92</v>
      </c>
      <c r="E1061" s="16">
        <f t="shared" si="101"/>
        <v>78.98</v>
      </c>
      <c r="F1061" s="164">
        <f t="shared" si="102"/>
        <v>473.9</v>
      </c>
      <c r="EH1061" s="3"/>
      <c r="GS1061" s="3"/>
      <c r="GT1061" s="4"/>
      <c r="GU1061" s="4"/>
      <c r="GV1061" s="4"/>
      <c r="GW1061" s="4"/>
      <c r="GX1061" s="4"/>
      <c r="GY1061" s="4"/>
      <c r="GZ1061" s="4"/>
      <c r="HA1061" s="4"/>
    </row>
    <row r="1062" spans="1:209" ht="15.75" x14ac:dyDescent="0.2">
      <c r="A1062" s="233" t="s">
        <v>1022</v>
      </c>
      <c r="B1062" s="285" t="s">
        <v>1259</v>
      </c>
      <c r="C1062" s="298" t="s">
        <v>230</v>
      </c>
      <c r="D1062" s="15">
        <v>875.6</v>
      </c>
      <c r="E1062" s="16">
        <f t="shared" si="101"/>
        <v>175.12</v>
      </c>
      <c r="F1062" s="164">
        <f t="shared" si="102"/>
        <v>1050.72</v>
      </c>
      <c r="EH1062" s="3"/>
      <c r="GS1062" s="3"/>
      <c r="GT1062" s="4"/>
      <c r="GU1062" s="4"/>
      <c r="GV1062" s="4"/>
      <c r="GW1062" s="4"/>
      <c r="GX1062" s="4"/>
      <c r="GY1062" s="4"/>
      <c r="GZ1062" s="4"/>
      <c r="HA1062" s="4"/>
    </row>
    <row r="1063" spans="1:209" ht="45" customHeight="1" x14ac:dyDescent="0.2">
      <c r="A1063" s="233" t="s">
        <v>1024</v>
      </c>
      <c r="B1063" s="300" t="s">
        <v>1260</v>
      </c>
      <c r="C1063" s="298" t="s">
        <v>230</v>
      </c>
      <c r="D1063" s="15">
        <v>322.02999999999997</v>
      </c>
      <c r="E1063" s="16">
        <f t="shared" si="101"/>
        <v>64.41</v>
      </c>
      <c r="F1063" s="164">
        <f t="shared" si="102"/>
        <v>386.44</v>
      </c>
      <c r="EH1063" s="3"/>
      <c r="GS1063" s="3"/>
      <c r="GT1063" s="4"/>
      <c r="GU1063" s="4"/>
      <c r="GV1063" s="4"/>
      <c r="GW1063" s="4"/>
      <c r="GX1063" s="4"/>
      <c r="GY1063" s="4"/>
      <c r="GZ1063" s="4"/>
      <c r="HA1063" s="4"/>
    </row>
    <row r="1064" spans="1:209" ht="31.5" customHeight="1" x14ac:dyDescent="0.2">
      <c r="A1064" s="230" t="s">
        <v>65</v>
      </c>
      <c r="B1064" s="285" t="s">
        <v>1261</v>
      </c>
      <c r="C1064" s="298" t="s">
        <v>230</v>
      </c>
      <c r="D1064" s="295">
        <v>435.43</v>
      </c>
      <c r="E1064" s="16">
        <f t="shared" si="101"/>
        <v>87.09</v>
      </c>
      <c r="F1064" s="164">
        <f t="shared" si="102"/>
        <v>522.52</v>
      </c>
      <c r="EH1064" s="3"/>
      <c r="GS1064" s="3"/>
      <c r="GT1064" s="4"/>
      <c r="GU1064" s="4"/>
      <c r="GV1064" s="4"/>
      <c r="GW1064" s="4"/>
      <c r="GX1064" s="4"/>
      <c r="GY1064" s="4"/>
      <c r="GZ1064" s="4"/>
      <c r="HA1064" s="4"/>
    </row>
    <row r="1065" spans="1:209" ht="33.75" customHeight="1" x14ac:dyDescent="0.2">
      <c r="A1065" s="230" t="s">
        <v>68</v>
      </c>
      <c r="B1065" s="285" t="s">
        <v>1262</v>
      </c>
      <c r="C1065" s="298" t="s">
        <v>230</v>
      </c>
      <c r="D1065" s="295">
        <v>481.42</v>
      </c>
      <c r="E1065" s="16">
        <f t="shared" si="101"/>
        <v>96.28</v>
      </c>
      <c r="F1065" s="164">
        <f t="shared" si="102"/>
        <v>577.70000000000005</v>
      </c>
      <c r="EH1065" s="3"/>
      <c r="GS1065" s="3"/>
      <c r="GT1065" s="4"/>
      <c r="GU1065" s="4"/>
      <c r="GV1065" s="4"/>
      <c r="GW1065" s="4"/>
      <c r="GX1065" s="4"/>
      <c r="GY1065" s="4"/>
      <c r="GZ1065" s="4"/>
      <c r="HA1065" s="4"/>
    </row>
    <row r="1066" spans="1:209" ht="48" customHeight="1" x14ac:dyDescent="0.2">
      <c r="A1066" s="233" t="s">
        <v>1213</v>
      </c>
      <c r="B1066" s="300" t="s">
        <v>1263</v>
      </c>
      <c r="C1066" s="298" t="s">
        <v>230</v>
      </c>
      <c r="D1066" s="295">
        <v>228.01</v>
      </c>
      <c r="E1066" s="16">
        <f t="shared" si="101"/>
        <v>45.6</v>
      </c>
      <c r="F1066" s="164">
        <f t="shared" si="102"/>
        <v>273.61</v>
      </c>
      <c r="EH1066" s="3"/>
      <c r="GS1066" s="3"/>
      <c r="GT1066" s="4"/>
      <c r="GU1066" s="4"/>
      <c r="GV1066" s="4"/>
      <c r="GW1066" s="4"/>
      <c r="GX1066" s="4"/>
      <c r="GY1066" s="4"/>
      <c r="GZ1066" s="4"/>
      <c r="HA1066" s="4"/>
    </row>
    <row r="1067" spans="1:209" ht="34.5" customHeight="1" x14ac:dyDescent="0.2">
      <c r="A1067" s="230" t="s">
        <v>70</v>
      </c>
      <c r="B1067" s="285" t="s">
        <v>1264</v>
      </c>
      <c r="C1067" s="298" t="s">
        <v>230</v>
      </c>
      <c r="D1067" s="295">
        <v>421.96</v>
      </c>
      <c r="E1067" s="16">
        <f t="shared" si="101"/>
        <v>84.39</v>
      </c>
      <c r="F1067" s="164">
        <f t="shared" si="102"/>
        <v>506.35</v>
      </c>
      <c r="EH1067" s="3"/>
      <c r="GS1067" s="3"/>
      <c r="GT1067" s="4"/>
      <c r="GU1067" s="4"/>
      <c r="GV1067" s="4"/>
      <c r="GW1067" s="4"/>
      <c r="GX1067" s="4"/>
      <c r="GY1067" s="4"/>
      <c r="GZ1067" s="4"/>
      <c r="HA1067" s="4"/>
    </row>
    <row r="1068" spans="1:209" ht="66.75" customHeight="1" x14ac:dyDescent="0.2">
      <c r="A1068" s="233" t="s">
        <v>1760</v>
      </c>
      <c r="B1068" s="300" t="s">
        <v>1265</v>
      </c>
      <c r="C1068" s="298" t="s">
        <v>230</v>
      </c>
      <c r="D1068" s="295">
        <v>228.01</v>
      </c>
      <c r="E1068" s="16">
        <f t="shared" si="101"/>
        <v>45.6</v>
      </c>
      <c r="F1068" s="164">
        <f t="shared" si="102"/>
        <v>273.61</v>
      </c>
      <c r="EH1068" s="3"/>
      <c r="GS1068" s="3"/>
      <c r="GT1068" s="4"/>
      <c r="GU1068" s="4"/>
      <c r="GV1068" s="4"/>
      <c r="GW1068" s="4"/>
      <c r="GX1068" s="4"/>
      <c r="GY1068" s="4"/>
      <c r="GZ1068" s="4"/>
      <c r="HA1068" s="4"/>
    </row>
    <row r="1069" spans="1:209" s="77" customFormat="1" ht="36" customHeight="1" x14ac:dyDescent="0.2">
      <c r="A1069" s="230" t="s">
        <v>72</v>
      </c>
      <c r="B1069" s="285" t="s">
        <v>1266</v>
      </c>
      <c r="C1069" s="298" t="s">
        <v>230</v>
      </c>
      <c r="D1069" s="295">
        <v>517.66</v>
      </c>
      <c r="E1069" s="16">
        <f t="shared" si="101"/>
        <v>103.53</v>
      </c>
      <c r="F1069" s="164">
        <f t="shared" si="102"/>
        <v>621.19000000000005</v>
      </c>
      <c r="G1069" s="2"/>
      <c r="EH1069" s="3"/>
      <c r="GS1069" s="3"/>
      <c r="GT1069" s="4"/>
      <c r="GU1069" s="4"/>
      <c r="GV1069" s="4"/>
      <c r="GW1069" s="4"/>
      <c r="GX1069" s="4"/>
      <c r="GY1069" s="4"/>
      <c r="GZ1069" s="4"/>
      <c r="HA1069" s="4"/>
    </row>
    <row r="1070" spans="1:209" ht="36" customHeight="1" x14ac:dyDescent="0.2">
      <c r="A1070" s="233" t="s">
        <v>1813</v>
      </c>
      <c r="B1070" s="300" t="s">
        <v>1267</v>
      </c>
      <c r="C1070" s="298" t="s">
        <v>230</v>
      </c>
      <c r="D1070" s="295">
        <f>473.25</f>
        <v>473.25</v>
      </c>
      <c r="E1070" s="16">
        <f t="shared" si="101"/>
        <v>94.65</v>
      </c>
      <c r="F1070" s="164">
        <f t="shared" si="102"/>
        <v>567.9</v>
      </c>
      <c r="EH1070" s="3"/>
      <c r="GS1070" s="3"/>
      <c r="GT1070" s="4"/>
      <c r="GU1070" s="4"/>
      <c r="GV1070" s="4"/>
      <c r="GW1070" s="4"/>
      <c r="GX1070" s="4"/>
      <c r="GY1070" s="4"/>
      <c r="GZ1070" s="4"/>
      <c r="HA1070" s="4"/>
    </row>
    <row r="1071" spans="1:209" ht="37.5" customHeight="1" x14ac:dyDescent="0.2">
      <c r="A1071" s="230" t="s">
        <v>74</v>
      </c>
      <c r="B1071" s="285" t="s">
        <v>1268</v>
      </c>
      <c r="C1071" s="298" t="s">
        <v>230</v>
      </c>
      <c r="D1071" s="295">
        <v>413.93</v>
      </c>
      <c r="E1071" s="16">
        <f t="shared" si="101"/>
        <v>82.79</v>
      </c>
      <c r="F1071" s="164">
        <f t="shared" si="102"/>
        <v>496.72</v>
      </c>
      <c r="EH1071" s="3"/>
      <c r="GS1071" s="3"/>
      <c r="GT1071" s="4"/>
      <c r="GU1071" s="4"/>
      <c r="GV1071" s="4"/>
      <c r="GW1071" s="4"/>
      <c r="GX1071" s="4"/>
      <c r="GY1071" s="4"/>
      <c r="GZ1071" s="4"/>
      <c r="HA1071" s="4"/>
    </row>
    <row r="1072" spans="1:209" ht="33" customHeight="1" x14ac:dyDescent="0.2">
      <c r="A1072" s="230" t="s">
        <v>1866</v>
      </c>
      <c r="B1072" s="263" t="s">
        <v>1867</v>
      </c>
      <c r="C1072" s="197" t="s">
        <v>1683</v>
      </c>
      <c r="D1072" s="295">
        <v>678.85</v>
      </c>
      <c r="E1072" s="16">
        <f t="shared" ref="E1072" si="103">D1072*20%</f>
        <v>135.77000000000001</v>
      </c>
      <c r="F1072" s="164">
        <f>D1072+E1072</f>
        <v>814.62</v>
      </c>
      <c r="EH1072" s="3"/>
      <c r="GS1072" s="3"/>
      <c r="GT1072" s="4"/>
      <c r="GU1072" s="4"/>
      <c r="GV1072" s="4"/>
      <c r="GW1072" s="4"/>
      <c r="GX1072" s="4"/>
      <c r="GY1072" s="4"/>
      <c r="GZ1072" s="4"/>
      <c r="HA1072" s="4"/>
    </row>
    <row r="1073" spans="1:256" ht="30.75" customHeight="1" x14ac:dyDescent="0.2">
      <c r="A1073" s="312" t="s">
        <v>1269</v>
      </c>
      <c r="B1073" s="312"/>
      <c r="C1073" s="312"/>
      <c r="D1073" s="312"/>
      <c r="E1073" s="312"/>
      <c r="F1073" s="312"/>
      <c r="EH1073" s="3"/>
      <c r="GS1073" s="3"/>
      <c r="GT1073" s="4"/>
      <c r="GU1073" s="4"/>
      <c r="GV1073" s="4"/>
      <c r="GW1073" s="4"/>
      <c r="GX1073" s="4"/>
      <c r="GY1073" s="4"/>
      <c r="GZ1073" s="4"/>
      <c r="HA1073" s="4"/>
    </row>
    <row r="1074" spans="1:256" ht="42" customHeight="1" x14ac:dyDescent="0.2">
      <c r="A1074" s="290" t="s">
        <v>76</v>
      </c>
      <c r="B1074" s="285" t="s">
        <v>1270</v>
      </c>
      <c r="C1074" s="298" t="s">
        <v>230</v>
      </c>
      <c r="D1074" s="15">
        <v>821.29</v>
      </c>
      <c r="E1074" s="16">
        <f t="shared" ref="E1074:E1080" si="104">D1074*20%</f>
        <v>164.26</v>
      </c>
      <c r="F1074" s="16">
        <f t="shared" ref="F1074:F1080" si="105">D1074+E1074</f>
        <v>985.55</v>
      </c>
      <c r="EH1074" s="3" t="s">
        <v>1247</v>
      </c>
      <c r="GS1074" s="3"/>
      <c r="GT1074" s="4"/>
      <c r="GU1074" s="4"/>
      <c r="GV1074" s="4"/>
      <c r="GW1074" s="4"/>
      <c r="GX1074" s="4"/>
      <c r="GY1074" s="4"/>
      <c r="GZ1074" s="4"/>
      <c r="HA1074" s="4"/>
      <c r="IT1074" s="334"/>
    </row>
    <row r="1075" spans="1:256" ht="31.5" x14ac:dyDescent="0.2">
      <c r="A1075" s="290" t="s">
        <v>78</v>
      </c>
      <c r="B1075" s="285" t="s">
        <v>1271</v>
      </c>
      <c r="C1075" s="298" t="s">
        <v>230</v>
      </c>
      <c r="D1075" s="15">
        <v>821.29</v>
      </c>
      <c r="E1075" s="16">
        <f t="shared" si="104"/>
        <v>164.26</v>
      </c>
      <c r="F1075" s="16">
        <f t="shared" si="105"/>
        <v>985.55</v>
      </c>
      <c r="EH1075" s="3" t="s">
        <v>1247</v>
      </c>
      <c r="GS1075" s="3"/>
      <c r="GT1075" s="4"/>
      <c r="GU1075" s="4"/>
      <c r="GV1075" s="4"/>
      <c r="GW1075" s="4"/>
      <c r="GX1075" s="4"/>
      <c r="GY1075" s="4"/>
      <c r="GZ1075" s="4"/>
      <c r="HA1075" s="4"/>
      <c r="IT1075" s="334"/>
    </row>
    <row r="1076" spans="1:256" ht="31.5" x14ac:dyDescent="0.2">
      <c r="A1076" s="290" t="s">
        <v>80</v>
      </c>
      <c r="B1076" s="285" t="s">
        <v>1272</v>
      </c>
      <c r="C1076" s="298" t="s">
        <v>230</v>
      </c>
      <c r="D1076" s="15">
        <v>821.29</v>
      </c>
      <c r="E1076" s="16">
        <f t="shared" si="104"/>
        <v>164.26</v>
      </c>
      <c r="F1076" s="16">
        <f t="shared" si="105"/>
        <v>985.55</v>
      </c>
      <c r="EH1076" s="3" t="s">
        <v>1247</v>
      </c>
      <c r="GS1076" s="3"/>
      <c r="GT1076" s="4"/>
      <c r="GU1076" s="4"/>
      <c r="GV1076" s="4"/>
      <c r="GW1076" s="4"/>
      <c r="GX1076" s="4"/>
      <c r="GY1076" s="4"/>
      <c r="GZ1076" s="4"/>
      <c r="HA1076" s="4"/>
      <c r="IT1076" s="334"/>
    </row>
    <row r="1077" spans="1:256" ht="33.75" customHeight="1" x14ac:dyDescent="0.2">
      <c r="A1077" s="290" t="s">
        <v>1814</v>
      </c>
      <c r="B1077" s="300" t="s">
        <v>1273</v>
      </c>
      <c r="C1077" s="298" t="s">
        <v>230</v>
      </c>
      <c r="D1077" s="15">
        <v>387.29</v>
      </c>
      <c r="E1077" s="16">
        <f t="shared" si="104"/>
        <v>77.459999999999994</v>
      </c>
      <c r="F1077" s="16">
        <f t="shared" si="105"/>
        <v>464.75</v>
      </c>
      <c r="EH1077" s="3"/>
      <c r="GS1077" s="3"/>
      <c r="GT1077" s="4"/>
      <c r="GU1077" s="4"/>
      <c r="GV1077" s="4"/>
      <c r="GW1077" s="4"/>
      <c r="GX1077" s="4"/>
      <c r="GY1077" s="4"/>
      <c r="GZ1077" s="4"/>
      <c r="HA1077" s="4"/>
      <c r="IT1077" s="334"/>
    </row>
    <row r="1078" spans="1:256" ht="38.25" customHeight="1" x14ac:dyDescent="0.2">
      <c r="A1078" s="290" t="s">
        <v>82</v>
      </c>
      <c r="B1078" s="285" t="s">
        <v>1274</v>
      </c>
      <c r="C1078" s="298" t="s">
        <v>230</v>
      </c>
      <c r="D1078" s="15">
        <v>821.29</v>
      </c>
      <c r="E1078" s="16">
        <f t="shared" si="104"/>
        <v>164.26</v>
      </c>
      <c r="F1078" s="16">
        <f t="shared" si="105"/>
        <v>985.55</v>
      </c>
      <c r="EH1078" s="3" t="s">
        <v>1247</v>
      </c>
      <c r="GS1078" s="3"/>
      <c r="GT1078" s="4"/>
      <c r="GU1078" s="4"/>
      <c r="GV1078" s="4"/>
      <c r="GW1078" s="4"/>
      <c r="GX1078" s="4"/>
      <c r="GY1078" s="4"/>
      <c r="GZ1078" s="4"/>
      <c r="HA1078" s="4"/>
      <c r="IT1078" s="334"/>
    </row>
    <row r="1079" spans="1:256" ht="27" customHeight="1" x14ac:dyDescent="0.2">
      <c r="A1079" s="290" t="s">
        <v>84</v>
      </c>
      <c r="B1079" s="285" t="s">
        <v>1275</v>
      </c>
      <c r="C1079" s="298" t="s">
        <v>230</v>
      </c>
      <c r="D1079" s="15">
        <v>1645.65</v>
      </c>
      <c r="E1079" s="16">
        <f t="shared" si="104"/>
        <v>329.13</v>
      </c>
      <c r="F1079" s="164">
        <f t="shared" si="105"/>
        <v>1974.78</v>
      </c>
      <c r="EH1079" s="3"/>
      <c r="GS1079" s="3"/>
      <c r="GT1079" s="4"/>
      <c r="GU1079" s="4"/>
      <c r="GV1079" s="4"/>
      <c r="GW1079" s="4"/>
      <c r="GX1079" s="4"/>
      <c r="GY1079" s="4"/>
      <c r="GZ1079" s="4"/>
      <c r="HA1079" s="4"/>
    </row>
    <row r="1080" spans="1:256" ht="36" customHeight="1" x14ac:dyDescent="0.2">
      <c r="A1080" s="290" t="s">
        <v>87</v>
      </c>
      <c r="B1080" s="285" t="s">
        <v>293</v>
      </c>
      <c r="C1080" s="298" t="s">
        <v>230</v>
      </c>
      <c r="D1080" s="15">
        <v>449.49</v>
      </c>
      <c r="E1080" s="16">
        <f t="shared" si="104"/>
        <v>89.9</v>
      </c>
      <c r="F1080" s="164">
        <f t="shared" si="105"/>
        <v>539.39</v>
      </c>
      <c r="EH1080" s="3"/>
      <c r="GS1080" s="3"/>
      <c r="GT1080" s="4"/>
      <c r="GU1080" s="4"/>
      <c r="GV1080" s="4"/>
      <c r="GW1080" s="4"/>
      <c r="GX1080" s="4"/>
      <c r="GY1080" s="4"/>
      <c r="GZ1080" s="4"/>
      <c r="HA1080" s="4"/>
      <c r="IU1080">
        <v>449.49</v>
      </c>
      <c r="IV1080" s="209">
        <f>IU1080-D1080</f>
        <v>0</v>
      </c>
    </row>
    <row r="1081" spans="1:256" ht="15.75" x14ac:dyDescent="0.2">
      <c r="A1081" s="290" t="s">
        <v>88</v>
      </c>
      <c r="B1081" s="313" t="s">
        <v>1276</v>
      </c>
      <c r="C1081" s="313"/>
      <c r="D1081" s="313"/>
      <c r="E1081" s="313"/>
      <c r="F1081" s="313"/>
      <c r="EH1081" s="3"/>
      <c r="GS1081" s="3"/>
      <c r="GT1081" s="4"/>
      <c r="GU1081" s="4"/>
      <c r="GV1081" s="4"/>
      <c r="GW1081" s="4"/>
      <c r="GX1081" s="4"/>
      <c r="GY1081" s="4"/>
      <c r="GZ1081" s="4"/>
      <c r="HA1081" s="4"/>
    </row>
    <row r="1082" spans="1:256" ht="37.5" customHeight="1" x14ac:dyDescent="0.2">
      <c r="A1082" s="59" t="s">
        <v>90</v>
      </c>
      <c r="B1082" s="285" t="s">
        <v>1277</v>
      </c>
      <c r="C1082" s="298" t="s">
        <v>230</v>
      </c>
      <c r="D1082" s="277">
        <v>675.49</v>
      </c>
      <c r="E1082" s="16">
        <f t="shared" ref="E1082:E1088" si="106">D1082*20%</f>
        <v>135.1</v>
      </c>
      <c r="F1082" s="164">
        <f t="shared" ref="F1082:F1087" si="107">D1082+E1082</f>
        <v>810.59</v>
      </c>
      <c r="EH1082" s="3" t="s">
        <v>1247</v>
      </c>
      <c r="GS1082" s="3"/>
      <c r="GT1082" s="4"/>
      <c r="GU1082" s="4"/>
      <c r="GV1082" s="4"/>
      <c r="GW1082" s="4"/>
      <c r="GX1082" s="4"/>
      <c r="GY1082" s="4"/>
      <c r="GZ1082" s="4"/>
      <c r="HA1082" s="4"/>
    </row>
    <row r="1083" spans="1:256" ht="39.75" customHeight="1" x14ac:dyDescent="0.2">
      <c r="A1083" s="59" t="s">
        <v>92</v>
      </c>
      <c r="B1083" s="285" t="s">
        <v>1278</v>
      </c>
      <c r="C1083" s="298" t="s">
        <v>230</v>
      </c>
      <c r="D1083" s="277">
        <v>675.49</v>
      </c>
      <c r="E1083" s="16">
        <f t="shared" si="106"/>
        <v>135.1</v>
      </c>
      <c r="F1083" s="164">
        <f t="shared" si="107"/>
        <v>810.59</v>
      </c>
      <c r="EH1083" s="3" t="s">
        <v>1247</v>
      </c>
      <c r="GS1083" s="3"/>
      <c r="GT1083" s="4"/>
      <c r="GU1083" s="4"/>
      <c r="GV1083" s="4"/>
      <c r="GW1083" s="4"/>
      <c r="GX1083" s="4"/>
      <c r="GY1083" s="4"/>
      <c r="GZ1083" s="4"/>
      <c r="HA1083" s="4"/>
    </row>
    <row r="1084" spans="1:256" ht="41.25" customHeight="1" x14ac:dyDescent="0.2">
      <c r="A1084" s="59" t="s">
        <v>1815</v>
      </c>
      <c r="B1084" s="300" t="s">
        <v>1279</v>
      </c>
      <c r="C1084" s="298" t="s">
        <v>230</v>
      </c>
      <c r="D1084" s="15">
        <v>316.10000000000002</v>
      </c>
      <c r="E1084" s="16">
        <f t="shared" si="106"/>
        <v>63.22</v>
      </c>
      <c r="F1084" s="164">
        <f t="shared" si="107"/>
        <v>379.32</v>
      </c>
      <c r="EH1084" s="3"/>
      <c r="GS1084" s="3"/>
      <c r="GT1084" s="4"/>
      <c r="GU1084" s="4"/>
      <c r="GV1084" s="4"/>
      <c r="GW1084" s="4"/>
      <c r="GX1084" s="4"/>
      <c r="GY1084" s="4"/>
      <c r="GZ1084" s="4"/>
      <c r="HA1084" s="4"/>
    </row>
    <row r="1085" spans="1:256" ht="39" customHeight="1" x14ac:dyDescent="0.2">
      <c r="A1085" s="290" t="s">
        <v>103</v>
      </c>
      <c r="B1085" s="285" t="s">
        <v>1280</v>
      </c>
      <c r="C1085" s="298" t="s">
        <v>230</v>
      </c>
      <c r="D1085" s="15">
        <v>1412.25</v>
      </c>
      <c r="E1085" s="16">
        <f t="shared" si="106"/>
        <v>282.45</v>
      </c>
      <c r="F1085" s="164">
        <f t="shared" si="107"/>
        <v>1694.7</v>
      </c>
      <c r="EH1085" s="3" t="s">
        <v>1247</v>
      </c>
      <c r="GS1085" s="3"/>
      <c r="GT1085" s="4"/>
      <c r="GU1085" s="4"/>
      <c r="GV1085" s="4"/>
      <c r="GW1085" s="4"/>
      <c r="GX1085" s="4"/>
      <c r="GY1085" s="4"/>
      <c r="GZ1085" s="4"/>
      <c r="HA1085" s="4"/>
    </row>
    <row r="1086" spans="1:256" ht="36" customHeight="1" x14ac:dyDescent="0.2">
      <c r="A1086" s="59" t="s">
        <v>1816</v>
      </c>
      <c r="B1086" s="300" t="s">
        <v>1281</v>
      </c>
      <c r="C1086" s="298" t="s">
        <v>230</v>
      </c>
      <c r="D1086" s="277">
        <v>904.28</v>
      </c>
      <c r="E1086" s="16">
        <f t="shared" si="106"/>
        <v>180.86</v>
      </c>
      <c r="F1086" s="164">
        <f t="shared" si="107"/>
        <v>1085.1400000000001</v>
      </c>
      <c r="EH1086" s="3"/>
      <c r="GS1086" s="3"/>
      <c r="GT1086" s="4"/>
      <c r="GU1086" s="4"/>
      <c r="GV1086" s="4"/>
      <c r="GW1086" s="4"/>
      <c r="GX1086" s="4"/>
      <c r="GY1086" s="4"/>
      <c r="GZ1086" s="4"/>
      <c r="HA1086" s="4"/>
    </row>
    <row r="1087" spans="1:256" ht="24.75" customHeight="1" x14ac:dyDescent="0.2">
      <c r="A1087" s="290" t="s">
        <v>105</v>
      </c>
      <c r="B1087" s="285" t="s">
        <v>1282</v>
      </c>
      <c r="C1087" s="298" t="s">
        <v>230</v>
      </c>
      <c r="D1087" s="15">
        <v>770.13</v>
      </c>
      <c r="E1087" s="16">
        <f t="shared" si="106"/>
        <v>154.03</v>
      </c>
      <c r="F1087" s="164">
        <f t="shared" si="107"/>
        <v>924.16</v>
      </c>
      <c r="EH1087" s="3" t="s">
        <v>1283</v>
      </c>
      <c r="GS1087" s="3"/>
      <c r="GT1087" s="4"/>
      <c r="GU1087" s="4"/>
      <c r="GV1087" s="4"/>
      <c r="GW1087" s="4"/>
      <c r="GX1087" s="4"/>
      <c r="GY1087" s="4"/>
      <c r="GZ1087" s="4"/>
      <c r="HA1087" s="4"/>
    </row>
    <row r="1088" spans="1:256" ht="24.75" hidden="1" customHeight="1" x14ac:dyDescent="0.2">
      <c r="A1088" s="59" t="s">
        <v>1284</v>
      </c>
      <c r="B1088" s="285" t="s">
        <v>1285</v>
      </c>
      <c r="C1088" s="277" t="s">
        <v>240</v>
      </c>
      <c r="D1088" s="15"/>
      <c r="E1088" s="16">
        <f t="shared" si="106"/>
        <v>0</v>
      </c>
      <c r="F1088" s="164">
        <f>D1088+E1088</f>
        <v>0</v>
      </c>
      <c r="EH1088" s="3"/>
      <c r="GS1088" s="3"/>
      <c r="GT1088" s="4"/>
      <c r="GU1088" s="4"/>
      <c r="GV1088" s="4"/>
      <c r="GW1088" s="4"/>
      <c r="GX1088" s="4"/>
      <c r="GY1088" s="4"/>
      <c r="GZ1088" s="4"/>
      <c r="HA1088" s="4"/>
    </row>
    <row r="1089" spans="1:209" ht="15.75" x14ac:dyDescent="0.2">
      <c r="A1089" s="290" t="s">
        <v>111</v>
      </c>
      <c r="B1089" s="313" t="s">
        <v>1753</v>
      </c>
      <c r="C1089" s="313"/>
      <c r="D1089" s="313"/>
      <c r="E1089" s="313"/>
      <c r="F1089" s="313"/>
      <c r="EH1089" s="3"/>
      <c r="GS1089" s="3"/>
      <c r="GT1089" s="4"/>
      <c r="GU1089" s="4"/>
      <c r="GV1089" s="4"/>
      <c r="GW1089" s="4"/>
      <c r="GX1089" s="4"/>
      <c r="GY1089" s="4"/>
      <c r="GZ1089" s="4"/>
      <c r="HA1089" s="4"/>
    </row>
    <row r="1090" spans="1:209" ht="15.75" x14ac:dyDescent="0.2">
      <c r="A1090" s="59" t="s">
        <v>1768</v>
      </c>
      <c r="B1090" s="285" t="s">
        <v>1286</v>
      </c>
      <c r="C1090" s="298" t="s">
        <v>230</v>
      </c>
      <c r="D1090" s="15">
        <v>1710.58</v>
      </c>
      <c r="E1090" s="16">
        <f t="shared" ref="E1090:E1111" si="108">D1090*20%</f>
        <v>342.12</v>
      </c>
      <c r="F1090" s="164">
        <f t="shared" ref="F1090:F1111" si="109">D1090+E1090</f>
        <v>2052.6999999999998</v>
      </c>
      <c r="EH1090" s="3" t="s">
        <v>1247</v>
      </c>
      <c r="GS1090" s="3"/>
      <c r="GT1090" s="4"/>
      <c r="GU1090" s="4"/>
      <c r="GV1090" s="4"/>
      <c r="GW1090" s="4"/>
      <c r="GX1090" s="4"/>
      <c r="GY1090" s="4"/>
      <c r="GZ1090" s="4"/>
      <c r="HA1090" s="4"/>
    </row>
    <row r="1091" spans="1:209" ht="15.75" x14ac:dyDescent="0.2">
      <c r="A1091" s="59" t="s">
        <v>1769</v>
      </c>
      <c r="B1091" s="285" t="s">
        <v>1287</v>
      </c>
      <c r="C1091" s="298" t="s">
        <v>230</v>
      </c>
      <c r="D1091" s="15">
        <v>1710.58</v>
      </c>
      <c r="E1091" s="16">
        <f t="shared" si="108"/>
        <v>342.12</v>
      </c>
      <c r="F1091" s="164">
        <f t="shared" si="109"/>
        <v>2052.6999999999998</v>
      </c>
      <c r="EH1091" s="3" t="s">
        <v>1288</v>
      </c>
      <c r="GS1091" s="3"/>
      <c r="GT1091" s="4"/>
      <c r="GU1091" s="4"/>
      <c r="GV1091" s="4"/>
      <c r="GW1091" s="4"/>
      <c r="GX1091" s="4"/>
      <c r="GY1091" s="4"/>
      <c r="GZ1091" s="4"/>
      <c r="HA1091" s="4"/>
    </row>
    <row r="1092" spans="1:209" ht="31.5" x14ac:dyDescent="0.2">
      <c r="A1092" s="59" t="s">
        <v>1817</v>
      </c>
      <c r="B1092" s="285" t="s">
        <v>1289</v>
      </c>
      <c r="C1092" s="298" t="s">
        <v>230</v>
      </c>
      <c r="D1092" s="15">
        <v>884.44</v>
      </c>
      <c r="E1092" s="16">
        <f t="shared" si="108"/>
        <v>176.89</v>
      </c>
      <c r="F1092" s="164">
        <f t="shared" si="109"/>
        <v>1061.33</v>
      </c>
      <c r="EH1092" s="3"/>
      <c r="GS1092" s="3"/>
      <c r="GT1092" s="4"/>
      <c r="GU1092" s="4"/>
      <c r="GV1092" s="4"/>
      <c r="GW1092" s="4"/>
      <c r="GX1092" s="4"/>
      <c r="GY1092" s="4"/>
      <c r="GZ1092" s="4"/>
      <c r="HA1092" s="4"/>
    </row>
    <row r="1093" spans="1:209" ht="15.75" x14ac:dyDescent="0.2">
      <c r="A1093" s="59" t="s">
        <v>1818</v>
      </c>
      <c r="B1093" s="285" t="s">
        <v>1290</v>
      </c>
      <c r="C1093" s="298" t="s">
        <v>230</v>
      </c>
      <c r="D1093" s="15">
        <v>884.44</v>
      </c>
      <c r="E1093" s="16">
        <f t="shared" si="108"/>
        <v>176.89</v>
      </c>
      <c r="F1093" s="164">
        <f t="shared" si="109"/>
        <v>1061.33</v>
      </c>
      <c r="EH1093" s="3" t="s">
        <v>1247</v>
      </c>
      <c r="GS1093" s="3"/>
      <c r="GT1093" s="4"/>
      <c r="GU1093" s="4"/>
      <c r="GV1093" s="4"/>
      <c r="GW1093" s="4"/>
      <c r="GX1093" s="4"/>
      <c r="GY1093" s="4"/>
      <c r="GZ1093" s="4"/>
      <c r="HA1093" s="4"/>
    </row>
    <row r="1094" spans="1:209" ht="20.25" customHeight="1" x14ac:dyDescent="0.2">
      <c r="A1094" s="59" t="s">
        <v>1819</v>
      </c>
      <c r="B1094" s="285" t="s">
        <v>1291</v>
      </c>
      <c r="C1094" s="298" t="s">
        <v>230</v>
      </c>
      <c r="D1094" s="15">
        <v>884.44</v>
      </c>
      <c r="E1094" s="16">
        <f t="shared" si="108"/>
        <v>176.89</v>
      </c>
      <c r="F1094" s="164">
        <f t="shared" si="109"/>
        <v>1061.33</v>
      </c>
      <c r="EH1094" s="3" t="s">
        <v>1247</v>
      </c>
      <c r="GS1094" s="3"/>
      <c r="GT1094" s="4"/>
      <c r="GU1094" s="4"/>
      <c r="GV1094" s="4"/>
      <c r="GW1094" s="4"/>
      <c r="GX1094" s="4"/>
      <c r="GY1094" s="4"/>
      <c r="GZ1094" s="4"/>
      <c r="HA1094" s="4"/>
    </row>
    <row r="1095" spans="1:209" ht="19.5" customHeight="1" x14ac:dyDescent="0.2">
      <c r="A1095" s="59" t="s">
        <v>1820</v>
      </c>
      <c r="B1095" s="285" t="s">
        <v>1292</v>
      </c>
      <c r="C1095" s="298" t="s">
        <v>230</v>
      </c>
      <c r="D1095" s="15">
        <v>1000.79</v>
      </c>
      <c r="E1095" s="16">
        <f t="shared" si="108"/>
        <v>200.16</v>
      </c>
      <c r="F1095" s="164">
        <f t="shared" si="109"/>
        <v>1200.95</v>
      </c>
      <c r="AK1095" t="s">
        <v>422</v>
      </c>
      <c r="EH1095" s="3"/>
      <c r="GS1095" s="3"/>
      <c r="GT1095" s="4"/>
      <c r="GU1095" s="4"/>
      <c r="GV1095" s="4"/>
      <c r="GW1095" s="4"/>
      <c r="GX1095" s="4"/>
      <c r="GY1095" s="4"/>
      <c r="GZ1095" s="4"/>
      <c r="HA1095" s="4"/>
    </row>
    <row r="1096" spans="1:209" ht="21.75" customHeight="1" x14ac:dyDescent="0.2">
      <c r="A1096" s="59" t="s">
        <v>1821</v>
      </c>
      <c r="B1096" s="285" t="s">
        <v>1293</v>
      </c>
      <c r="C1096" s="298" t="s">
        <v>230</v>
      </c>
      <c r="D1096" s="15">
        <v>1260.8499999999999</v>
      </c>
      <c r="E1096" s="16">
        <f t="shared" si="108"/>
        <v>252.17</v>
      </c>
      <c r="F1096" s="164">
        <f t="shared" si="109"/>
        <v>1513.02</v>
      </c>
      <c r="EH1096" s="3" t="s">
        <v>1294</v>
      </c>
      <c r="GS1096" s="3"/>
      <c r="GT1096" s="4"/>
      <c r="GU1096" s="4"/>
      <c r="GV1096" s="4"/>
      <c r="GW1096" s="4"/>
      <c r="GX1096" s="4"/>
      <c r="GY1096" s="4"/>
      <c r="GZ1096" s="4"/>
      <c r="HA1096" s="4"/>
    </row>
    <row r="1097" spans="1:209" ht="21.75" customHeight="1" x14ac:dyDescent="0.2">
      <c r="A1097" s="59" t="s">
        <v>1822</v>
      </c>
      <c r="B1097" s="175" t="s">
        <v>1747</v>
      </c>
      <c r="C1097" s="298" t="s">
        <v>230</v>
      </c>
      <c r="D1097" s="295">
        <v>2509.85</v>
      </c>
      <c r="E1097" s="16">
        <f t="shared" si="108"/>
        <v>501.97</v>
      </c>
      <c r="F1097" s="16">
        <f t="shared" si="109"/>
        <v>3011.82</v>
      </c>
      <c r="EH1097" s="3"/>
      <c r="GS1097" s="3"/>
      <c r="GT1097" s="4"/>
      <c r="GU1097" s="4"/>
      <c r="GV1097" s="4"/>
      <c r="GW1097" s="4"/>
      <c r="GX1097" s="4"/>
      <c r="GY1097" s="4"/>
      <c r="GZ1097" s="4"/>
      <c r="HA1097" s="4"/>
    </row>
    <row r="1098" spans="1:209" ht="53.25" customHeight="1" x14ac:dyDescent="0.2">
      <c r="A1098" s="290" t="s">
        <v>114</v>
      </c>
      <c r="B1098" s="281" t="s">
        <v>1295</v>
      </c>
      <c r="C1098" s="298" t="s">
        <v>230</v>
      </c>
      <c r="D1098" s="15">
        <v>299.85000000000002</v>
      </c>
      <c r="E1098" s="16">
        <f t="shared" si="108"/>
        <v>59.97</v>
      </c>
      <c r="F1098" s="164">
        <f t="shared" si="109"/>
        <v>359.82</v>
      </c>
      <c r="EH1098" s="3" t="s">
        <v>1294</v>
      </c>
      <c r="GS1098" s="3"/>
      <c r="GT1098" s="4"/>
      <c r="GU1098" s="4"/>
      <c r="GV1098" s="4"/>
      <c r="GW1098" s="4"/>
      <c r="GX1098" s="4"/>
      <c r="GY1098" s="4"/>
      <c r="GZ1098" s="4"/>
      <c r="HA1098" s="4"/>
    </row>
    <row r="1099" spans="1:209" ht="23.25" customHeight="1" x14ac:dyDescent="0.45">
      <c r="A1099" s="290" t="s">
        <v>1737</v>
      </c>
      <c r="B1099" s="165" t="s">
        <v>1296</v>
      </c>
      <c r="C1099" s="298" t="s">
        <v>230</v>
      </c>
      <c r="D1099" s="15">
        <v>448.78</v>
      </c>
      <c r="E1099" s="16">
        <f t="shared" si="108"/>
        <v>89.76</v>
      </c>
      <c r="F1099" s="164">
        <f t="shared" si="109"/>
        <v>538.54</v>
      </c>
      <c r="EH1099" s="3"/>
      <c r="GS1099" s="234"/>
      <c r="GT1099" s="4"/>
      <c r="GU1099" s="4"/>
      <c r="GV1099" s="4"/>
      <c r="GW1099" s="4"/>
      <c r="GX1099" s="4"/>
      <c r="GY1099" s="4"/>
      <c r="GZ1099" s="4"/>
      <c r="HA1099" s="4"/>
    </row>
    <row r="1100" spans="1:209" ht="21.75" customHeight="1" x14ac:dyDescent="0.2">
      <c r="A1100" s="290" t="s">
        <v>1771</v>
      </c>
      <c r="B1100" s="285" t="s">
        <v>1297</v>
      </c>
      <c r="C1100" s="298" t="s">
        <v>230</v>
      </c>
      <c r="D1100" s="15">
        <v>297.2</v>
      </c>
      <c r="E1100" s="16">
        <f t="shared" si="108"/>
        <v>59.44</v>
      </c>
      <c r="F1100" s="164">
        <f t="shared" si="109"/>
        <v>356.64</v>
      </c>
      <c r="EH1100" s="3" t="s">
        <v>1247</v>
      </c>
      <c r="GS1100" s="3"/>
      <c r="GT1100" s="4"/>
      <c r="GU1100" s="4"/>
      <c r="GV1100" s="4"/>
      <c r="GW1100" s="4"/>
      <c r="GX1100" s="4"/>
      <c r="GY1100" s="4"/>
      <c r="GZ1100" s="4"/>
      <c r="HA1100" s="4"/>
    </row>
    <row r="1101" spans="1:209" ht="25.5" customHeight="1" x14ac:dyDescent="0.2">
      <c r="A1101" s="290" t="s">
        <v>1772</v>
      </c>
      <c r="B1101" s="285" t="s">
        <v>1298</v>
      </c>
      <c r="C1101" s="298" t="s">
        <v>230</v>
      </c>
      <c r="D1101" s="15">
        <v>510.38</v>
      </c>
      <c r="E1101" s="16">
        <f t="shared" si="108"/>
        <v>102.08</v>
      </c>
      <c r="F1101" s="164">
        <f t="shared" si="109"/>
        <v>612.46</v>
      </c>
      <c r="EH1101" s="3" t="s">
        <v>1247</v>
      </c>
      <c r="GS1101" s="3"/>
      <c r="GT1101" s="4"/>
      <c r="GU1101" s="4"/>
      <c r="GV1101" s="4"/>
      <c r="GW1101" s="4"/>
      <c r="GX1101" s="4"/>
      <c r="GY1101" s="4"/>
      <c r="GZ1101" s="4"/>
      <c r="HA1101" s="4"/>
    </row>
    <row r="1102" spans="1:209" s="77" customFormat="1" ht="35.25" customHeight="1" x14ac:dyDescent="0.2">
      <c r="A1102" s="290" t="s">
        <v>1773</v>
      </c>
      <c r="B1102" s="285" t="s">
        <v>1299</v>
      </c>
      <c r="C1102" s="298" t="s">
        <v>230</v>
      </c>
      <c r="D1102" s="15">
        <v>144.18</v>
      </c>
      <c r="E1102" s="16">
        <f t="shared" si="108"/>
        <v>28.84</v>
      </c>
      <c r="F1102" s="164">
        <f t="shared" si="109"/>
        <v>173.02</v>
      </c>
      <c r="G1102" s="2"/>
      <c r="EH1102" s="3" t="s">
        <v>1247</v>
      </c>
      <c r="GS1102" s="3"/>
      <c r="GT1102" s="4"/>
      <c r="GU1102" s="4"/>
      <c r="GV1102" s="4"/>
      <c r="GW1102" s="4"/>
      <c r="GX1102" s="4"/>
      <c r="GY1102" s="4"/>
      <c r="GZ1102" s="4"/>
      <c r="HA1102" s="4"/>
    </row>
    <row r="1103" spans="1:209" ht="27.75" customHeight="1" x14ac:dyDescent="0.2">
      <c r="A1103" s="290" t="s">
        <v>1774</v>
      </c>
      <c r="B1103" s="285" t="s">
        <v>1300</v>
      </c>
      <c r="C1103" s="298" t="s">
        <v>230</v>
      </c>
      <c r="D1103" s="15">
        <v>465.09</v>
      </c>
      <c r="E1103" s="16">
        <f t="shared" si="108"/>
        <v>93.02</v>
      </c>
      <c r="F1103" s="16">
        <f t="shared" si="109"/>
        <v>558.11</v>
      </c>
      <c r="EH1103" s="3"/>
      <c r="GS1103" s="3"/>
      <c r="GT1103" s="4"/>
      <c r="GU1103" s="4"/>
      <c r="GV1103" s="4"/>
      <c r="GW1103" s="4"/>
      <c r="GX1103" s="4"/>
      <c r="GY1103" s="4"/>
      <c r="GZ1103" s="4"/>
      <c r="HA1103" s="4"/>
    </row>
    <row r="1104" spans="1:209" ht="34.5" customHeight="1" x14ac:dyDescent="0.45">
      <c r="A1104" s="290" t="s">
        <v>1778</v>
      </c>
      <c r="B1104" s="285" t="s">
        <v>1301</v>
      </c>
      <c r="C1104" s="298" t="s">
        <v>230</v>
      </c>
      <c r="D1104" s="15">
        <v>4606</v>
      </c>
      <c r="E1104" s="16">
        <f t="shared" si="108"/>
        <v>921.2</v>
      </c>
      <c r="F1104" s="16">
        <f t="shared" si="109"/>
        <v>5527.2</v>
      </c>
      <c r="EH1104" s="3" t="s">
        <v>1247</v>
      </c>
      <c r="GS1104" s="235"/>
      <c r="GT1104" s="4"/>
      <c r="GU1104" s="4"/>
      <c r="GV1104" s="4"/>
      <c r="GW1104" s="4"/>
      <c r="GX1104" s="4"/>
      <c r="GY1104" s="4"/>
      <c r="GZ1104" s="4"/>
      <c r="HA1104" s="4"/>
    </row>
    <row r="1105" spans="1:209" ht="57" customHeight="1" x14ac:dyDescent="0.2">
      <c r="A1105" s="290" t="s">
        <v>1779</v>
      </c>
      <c r="B1105" s="285" t="s">
        <v>1302</v>
      </c>
      <c r="C1105" s="277" t="s">
        <v>1076</v>
      </c>
      <c r="D1105" s="295">
        <v>1014.38</v>
      </c>
      <c r="E1105" s="16">
        <f t="shared" si="108"/>
        <v>202.88</v>
      </c>
      <c r="F1105" s="16">
        <f t="shared" si="109"/>
        <v>1217.26</v>
      </c>
      <c r="EH1105" s="3"/>
      <c r="GS1105" s="3"/>
      <c r="GT1105" s="4"/>
      <c r="GU1105" s="4"/>
      <c r="GV1105" s="4"/>
      <c r="GW1105" s="4"/>
      <c r="GX1105" s="4"/>
      <c r="GY1105" s="4"/>
      <c r="GZ1105" s="4"/>
      <c r="HA1105" s="4"/>
    </row>
    <row r="1106" spans="1:209" ht="91.5" customHeight="1" x14ac:dyDescent="0.2">
      <c r="A1106" s="290" t="s">
        <v>1780</v>
      </c>
      <c r="B1106" s="285" t="s">
        <v>1303</v>
      </c>
      <c r="C1106" s="277" t="s">
        <v>1304</v>
      </c>
      <c r="D1106" s="295">
        <v>1400</v>
      </c>
      <c r="E1106" s="16">
        <f t="shared" si="108"/>
        <v>280</v>
      </c>
      <c r="F1106" s="16">
        <f t="shared" si="109"/>
        <v>1680</v>
      </c>
      <c r="EH1106" s="3"/>
      <c r="GS1106" s="3"/>
      <c r="GT1106" s="4"/>
      <c r="GU1106" s="4"/>
      <c r="GV1106" s="4"/>
      <c r="GW1106" s="4"/>
      <c r="GX1106" s="4"/>
      <c r="GY1106" s="4"/>
      <c r="GZ1106" s="4"/>
      <c r="HA1106" s="4"/>
    </row>
    <row r="1107" spans="1:209" ht="24.75" customHeight="1" x14ac:dyDescent="0.2">
      <c r="A1107" s="290" t="s">
        <v>1784</v>
      </c>
      <c r="B1107" s="285" t="s">
        <v>1305</v>
      </c>
      <c r="C1107" s="277" t="s">
        <v>1304</v>
      </c>
      <c r="D1107" s="295">
        <v>795</v>
      </c>
      <c r="E1107" s="16">
        <f t="shared" si="108"/>
        <v>159</v>
      </c>
      <c r="F1107" s="16">
        <f t="shared" si="109"/>
        <v>954</v>
      </c>
      <c r="EH1107" s="3"/>
      <c r="GS1107" s="3"/>
      <c r="GT1107" s="4"/>
      <c r="GU1107" s="4"/>
      <c r="GV1107" s="4"/>
      <c r="GW1107" s="4"/>
      <c r="GX1107" s="4"/>
      <c r="GY1107" s="4"/>
      <c r="GZ1107" s="4"/>
      <c r="HA1107" s="4"/>
    </row>
    <row r="1108" spans="1:209" ht="21" customHeight="1" x14ac:dyDescent="0.2">
      <c r="A1108" s="290" t="s">
        <v>1785</v>
      </c>
      <c r="B1108" s="285" t="s">
        <v>1306</v>
      </c>
      <c r="C1108" s="277" t="s">
        <v>1304</v>
      </c>
      <c r="D1108" s="295">
        <f>999.68</f>
        <v>999.68</v>
      </c>
      <c r="E1108" s="16">
        <f t="shared" si="108"/>
        <v>199.94</v>
      </c>
      <c r="F1108" s="16">
        <f t="shared" si="109"/>
        <v>1199.6199999999999</v>
      </c>
      <c r="EH1108" s="3"/>
      <c r="GS1108" s="3"/>
      <c r="GT1108" s="4"/>
      <c r="GU1108" s="4"/>
      <c r="GV1108" s="4"/>
      <c r="GW1108" s="4"/>
      <c r="GX1108" s="4"/>
      <c r="GY1108" s="4"/>
      <c r="GZ1108" s="4"/>
      <c r="HA1108" s="4"/>
    </row>
    <row r="1109" spans="1:209" ht="35.25" customHeight="1" x14ac:dyDescent="0.2">
      <c r="A1109" s="290" t="s">
        <v>1786</v>
      </c>
      <c r="B1109" s="285" t="s">
        <v>1307</v>
      </c>
      <c r="C1109" s="277" t="s">
        <v>1308</v>
      </c>
      <c r="D1109" s="295">
        <v>2420.4</v>
      </c>
      <c r="E1109" s="16">
        <f t="shared" si="108"/>
        <v>484.08</v>
      </c>
      <c r="F1109" s="16">
        <f t="shared" si="109"/>
        <v>2904.48</v>
      </c>
      <c r="EH1109" s="3"/>
      <c r="GS1109" s="3"/>
      <c r="GT1109" s="4"/>
      <c r="GU1109" s="4"/>
      <c r="GV1109" s="4"/>
      <c r="GW1109" s="4"/>
      <c r="GX1109" s="4"/>
      <c r="GY1109" s="4"/>
      <c r="GZ1109" s="4"/>
      <c r="HA1109" s="4"/>
    </row>
    <row r="1110" spans="1:209" ht="28.5" customHeight="1" x14ac:dyDescent="0.2">
      <c r="A1110" s="290" t="s">
        <v>1787</v>
      </c>
      <c r="B1110" s="165" t="s">
        <v>1309</v>
      </c>
      <c r="C1110" s="277" t="s">
        <v>1310</v>
      </c>
      <c r="D1110" s="295">
        <v>2510.9499999999998</v>
      </c>
      <c r="E1110" s="16">
        <f t="shared" si="108"/>
        <v>502.19</v>
      </c>
      <c r="F1110" s="16">
        <f t="shared" si="109"/>
        <v>3013.14</v>
      </c>
      <c r="EH1110" s="3"/>
      <c r="GS1110" s="3"/>
      <c r="GT1110" s="4"/>
      <c r="GU1110" s="4"/>
      <c r="GV1110" s="4"/>
      <c r="GW1110" s="4"/>
      <c r="GX1110" s="4"/>
      <c r="GY1110" s="4"/>
      <c r="GZ1110" s="4"/>
      <c r="HA1110" s="4"/>
    </row>
    <row r="1111" spans="1:209" ht="28.5" customHeight="1" x14ac:dyDescent="0.2">
      <c r="A1111" s="290" t="s">
        <v>1788</v>
      </c>
      <c r="B1111" s="165" t="s">
        <v>1311</v>
      </c>
      <c r="C1111" s="277" t="s">
        <v>1312</v>
      </c>
      <c r="D1111" s="295">
        <f>10212.8</f>
        <v>10212.799999999999</v>
      </c>
      <c r="E1111" s="16">
        <f t="shared" si="108"/>
        <v>2042.56</v>
      </c>
      <c r="F1111" s="16">
        <f t="shared" si="109"/>
        <v>12255.36</v>
      </c>
      <c r="EH1111" s="3"/>
      <c r="GS1111" s="3"/>
      <c r="GT1111" s="4"/>
      <c r="GU1111" s="4"/>
      <c r="GV1111" s="4"/>
      <c r="GW1111" s="4"/>
      <c r="GX1111" s="4"/>
      <c r="GY1111" s="4"/>
      <c r="GZ1111" s="4"/>
      <c r="HA1111" s="4"/>
    </row>
    <row r="1112" spans="1:209" ht="30.75" customHeight="1" x14ac:dyDescent="0.2">
      <c r="A1112" s="312" t="s">
        <v>1313</v>
      </c>
      <c r="B1112" s="312"/>
      <c r="C1112" s="312"/>
      <c r="D1112" s="312"/>
      <c r="E1112" s="312"/>
      <c r="F1112" s="312"/>
      <c r="EH1112" s="3"/>
      <c r="GS1112" s="3"/>
      <c r="GT1112" s="4"/>
      <c r="GU1112" s="4"/>
      <c r="GV1112" s="4"/>
      <c r="GW1112" s="4"/>
      <c r="GX1112" s="4"/>
      <c r="GY1112" s="4"/>
      <c r="GZ1112" s="4"/>
      <c r="HA1112" s="4"/>
    </row>
    <row r="1113" spans="1:209" ht="26.25" customHeight="1" x14ac:dyDescent="0.2">
      <c r="A1113" s="290" t="s">
        <v>1789</v>
      </c>
      <c r="B1113" s="181" t="s">
        <v>1314</v>
      </c>
      <c r="C1113" s="298" t="s">
        <v>230</v>
      </c>
      <c r="D1113" s="295">
        <v>150.41</v>
      </c>
      <c r="E1113" s="16">
        <f t="shared" ref="E1113:E1121" si="110">D1113*20%</f>
        <v>30.08</v>
      </c>
      <c r="F1113" s="164">
        <f t="shared" ref="F1113:F1121" si="111">D1113+E1113</f>
        <v>180.49</v>
      </c>
      <c r="EH1113" s="3"/>
      <c r="GS1113" s="3"/>
      <c r="GT1113" s="4"/>
      <c r="GU1113" s="4"/>
      <c r="GV1113" s="4"/>
      <c r="GW1113" s="4"/>
      <c r="GX1113" s="4"/>
      <c r="GY1113" s="4"/>
      <c r="GZ1113" s="4"/>
      <c r="HA1113" s="4"/>
    </row>
    <row r="1114" spans="1:209" ht="37.5" customHeight="1" x14ac:dyDescent="0.2">
      <c r="A1114" s="290" t="s">
        <v>1790</v>
      </c>
      <c r="B1114" s="285" t="s">
        <v>1215</v>
      </c>
      <c r="C1114" s="298" t="s">
        <v>230</v>
      </c>
      <c r="D1114" s="295">
        <v>764.71</v>
      </c>
      <c r="E1114" s="16">
        <f t="shared" si="110"/>
        <v>152.94</v>
      </c>
      <c r="F1114" s="164">
        <f t="shared" si="111"/>
        <v>917.65</v>
      </c>
      <c r="EH1114" s="3"/>
      <c r="GS1114" s="3"/>
      <c r="GT1114" s="4"/>
      <c r="GU1114" s="4"/>
      <c r="GV1114" s="4"/>
      <c r="GW1114" s="4"/>
      <c r="GX1114" s="4"/>
      <c r="GY1114" s="4"/>
      <c r="GZ1114" s="4"/>
      <c r="HA1114" s="4"/>
    </row>
    <row r="1115" spans="1:209" ht="22.5" customHeight="1" x14ac:dyDescent="0.75">
      <c r="A1115" s="290" t="s">
        <v>1791</v>
      </c>
      <c r="B1115" s="285" t="s">
        <v>1315</v>
      </c>
      <c r="C1115" s="298" t="s">
        <v>230</v>
      </c>
      <c r="D1115" s="295">
        <v>553.08000000000004</v>
      </c>
      <c r="E1115" s="16">
        <f t="shared" si="110"/>
        <v>110.62</v>
      </c>
      <c r="F1115" s="164">
        <f t="shared" si="111"/>
        <v>663.7</v>
      </c>
      <c r="EH1115" s="3"/>
      <c r="GS1115" s="237"/>
      <c r="GT1115" s="4"/>
      <c r="GU1115" s="4"/>
      <c r="GV1115" s="4"/>
      <c r="GW1115" s="4"/>
      <c r="GX1115" s="4"/>
      <c r="GY1115" s="4"/>
      <c r="GZ1115" s="4"/>
      <c r="HA1115" s="4"/>
    </row>
    <row r="1116" spans="1:209" ht="33.75" customHeight="1" x14ac:dyDescent="0.2">
      <c r="A1116" s="290" t="s">
        <v>1792</v>
      </c>
      <c r="B1116" s="300" t="s">
        <v>1316</v>
      </c>
      <c r="C1116" s="298" t="s">
        <v>230</v>
      </c>
      <c r="D1116" s="295">
        <v>320.33999999999997</v>
      </c>
      <c r="E1116" s="16">
        <f t="shared" si="110"/>
        <v>64.069999999999993</v>
      </c>
      <c r="F1116" s="164">
        <f t="shared" si="111"/>
        <v>384.41</v>
      </c>
      <c r="EH1116" s="3"/>
      <c r="GS1116" s="3"/>
      <c r="GT1116" s="4"/>
      <c r="GU1116" s="4"/>
      <c r="GV1116" s="4"/>
      <c r="GW1116" s="4"/>
      <c r="GX1116" s="4"/>
      <c r="GY1116" s="4"/>
      <c r="GZ1116" s="4"/>
      <c r="HA1116" s="4"/>
    </row>
    <row r="1117" spans="1:209" ht="32.25" customHeight="1" x14ac:dyDescent="0.2">
      <c r="A1117" s="290" t="s">
        <v>1793</v>
      </c>
      <c r="B1117" s="285" t="s">
        <v>1317</v>
      </c>
      <c r="C1117" s="298" t="s">
        <v>230</v>
      </c>
      <c r="D1117" s="295">
        <v>528.44000000000005</v>
      </c>
      <c r="E1117" s="16">
        <f t="shared" si="110"/>
        <v>105.69</v>
      </c>
      <c r="F1117" s="164">
        <f t="shared" si="111"/>
        <v>634.13</v>
      </c>
      <c r="EH1117" s="3"/>
      <c r="GS1117" s="3"/>
      <c r="GT1117" s="4"/>
      <c r="GU1117" s="4"/>
      <c r="GV1117" s="4"/>
      <c r="GW1117" s="4"/>
      <c r="GX1117" s="4"/>
      <c r="GY1117" s="4"/>
      <c r="GZ1117" s="4"/>
      <c r="HA1117" s="4"/>
    </row>
    <row r="1118" spans="1:209" ht="30" customHeight="1" x14ac:dyDescent="0.2">
      <c r="A1118" s="290" t="s">
        <v>1794</v>
      </c>
      <c r="B1118" s="285" t="s">
        <v>1318</v>
      </c>
      <c r="C1118" s="298" t="s">
        <v>230</v>
      </c>
      <c r="D1118" s="295">
        <v>403.14</v>
      </c>
      <c r="E1118" s="16">
        <f t="shared" si="110"/>
        <v>80.63</v>
      </c>
      <c r="F1118" s="164">
        <f t="shared" si="111"/>
        <v>483.77</v>
      </c>
      <c r="EH1118" s="3"/>
      <c r="GS1118" s="3"/>
      <c r="GT1118" s="4"/>
      <c r="GU1118" s="4"/>
      <c r="GV1118" s="4"/>
      <c r="GW1118" s="4"/>
      <c r="GX1118" s="4"/>
      <c r="GY1118" s="4"/>
      <c r="GZ1118" s="4"/>
      <c r="HA1118" s="4"/>
    </row>
    <row r="1119" spans="1:209" ht="42.75" customHeight="1" x14ac:dyDescent="0.2">
      <c r="A1119" s="290" t="s">
        <v>1795</v>
      </c>
      <c r="B1119" s="300" t="s">
        <v>1319</v>
      </c>
      <c r="C1119" s="298" t="s">
        <v>230</v>
      </c>
      <c r="D1119" s="295">
        <v>206.78</v>
      </c>
      <c r="E1119" s="16">
        <f t="shared" si="110"/>
        <v>41.36</v>
      </c>
      <c r="F1119" s="164">
        <f t="shared" si="111"/>
        <v>248.14</v>
      </c>
      <c r="EH1119" s="3"/>
      <c r="GS1119" s="3"/>
      <c r="GT1119" s="4"/>
      <c r="GU1119" s="4"/>
      <c r="GV1119" s="4"/>
      <c r="GW1119" s="4"/>
      <c r="GX1119" s="4"/>
      <c r="GY1119" s="4"/>
      <c r="GZ1119" s="4"/>
      <c r="HA1119" s="4"/>
    </row>
    <row r="1120" spans="1:209" ht="18.75" customHeight="1" x14ac:dyDescent="0.2">
      <c r="A1120" s="290" t="s">
        <v>1796</v>
      </c>
      <c r="B1120" s="285" t="s">
        <v>1320</v>
      </c>
      <c r="C1120" s="298" t="s">
        <v>230</v>
      </c>
      <c r="D1120" s="295">
        <v>211.39</v>
      </c>
      <c r="E1120" s="16">
        <f t="shared" si="110"/>
        <v>42.28</v>
      </c>
      <c r="F1120" s="164">
        <f t="shared" si="111"/>
        <v>253.67</v>
      </c>
      <c r="EH1120" s="3"/>
      <c r="GS1120" s="3"/>
      <c r="GT1120" s="4"/>
      <c r="GU1120" s="4"/>
      <c r="GV1120" s="4"/>
      <c r="GW1120" s="4"/>
      <c r="GX1120" s="4"/>
      <c r="GY1120" s="4"/>
      <c r="GZ1120" s="4"/>
      <c r="HA1120" s="4"/>
    </row>
    <row r="1121" spans="1:209" ht="35.25" customHeight="1" x14ac:dyDescent="0.2">
      <c r="A1121" s="290" t="s">
        <v>1797</v>
      </c>
      <c r="B1121" s="300" t="s">
        <v>1321</v>
      </c>
      <c r="C1121" s="298" t="s">
        <v>230</v>
      </c>
      <c r="D1121" s="295">
        <v>115.85</v>
      </c>
      <c r="E1121" s="16">
        <f t="shared" si="110"/>
        <v>23.17</v>
      </c>
      <c r="F1121" s="164">
        <f t="shared" si="111"/>
        <v>139.02000000000001</v>
      </c>
      <c r="EH1121" s="3"/>
      <c r="GS1121" s="3"/>
      <c r="GT1121" s="4"/>
      <c r="GU1121" s="4"/>
      <c r="GV1121" s="4"/>
      <c r="GW1121" s="4"/>
      <c r="GX1121" s="4"/>
      <c r="GY1121" s="4"/>
      <c r="GZ1121" s="4"/>
      <c r="HA1121" s="4"/>
    </row>
    <row r="1122" spans="1:209" ht="15.75" x14ac:dyDescent="0.2">
      <c r="A1122" s="290" t="s">
        <v>1798</v>
      </c>
      <c r="B1122" s="313" t="s">
        <v>1322</v>
      </c>
      <c r="C1122" s="313"/>
      <c r="D1122" s="313"/>
      <c r="E1122" s="313"/>
      <c r="F1122" s="313"/>
      <c r="EH1122" s="3"/>
      <c r="GS1122" s="3"/>
      <c r="GT1122" s="4"/>
      <c r="GU1122" s="4"/>
      <c r="GV1122" s="4"/>
      <c r="GW1122" s="4"/>
      <c r="GX1122" s="4"/>
      <c r="GY1122" s="4"/>
      <c r="GZ1122" s="4"/>
      <c r="HA1122" s="4"/>
    </row>
    <row r="1123" spans="1:209" ht="15.75" x14ac:dyDescent="0.2">
      <c r="A1123" s="59" t="s">
        <v>1823</v>
      </c>
      <c r="B1123" s="285" t="s">
        <v>1323</v>
      </c>
      <c r="C1123" s="298" t="s">
        <v>230</v>
      </c>
      <c r="D1123" s="15">
        <f>D1052</f>
        <v>846.93</v>
      </c>
      <c r="E1123" s="16">
        <f t="shared" ref="E1123:E1131" si="112">D1123*20%</f>
        <v>169.39</v>
      </c>
      <c r="F1123" s="164">
        <f t="shared" ref="F1123:F1131" si="113">D1123+E1123</f>
        <v>1016.32</v>
      </c>
      <c r="EH1123" s="3"/>
      <c r="GS1123" s="3"/>
      <c r="GT1123" s="4"/>
      <c r="GU1123" s="4"/>
      <c r="GV1123" s="4"/>
      <c r="GW1123" s="4"/>
      <c r="GX1123" s="4"/>
      <c r="GY1123" s="4"/>
      <c r="GZ1123" s="4"/>
      <c r="HA1123" s="4"/>
    </row>
    <row r="1124" spans="1:209" ht="15.75" x14ac:dyDescent="0.2">
      <c r="A1124" s="59" t="s">
        <v>1824</v>
      </c>
      <c r="B1124" s="285" t="s">
        <v>1324</v>
      </c>
      <c r="C1124" s="298" t="s">
        <v>230</v>
      </c>
      <c r="D1124" s="15">
        <f>D1054</f>
        <v>875.6</v>
      </c>
      <c r="E1124" s="16">
        <f t="shared" si="112"/>
        <v>175.12</v>
      </c>
      <c r="F1124" s="164">
        <f t="shared" si="113"/>
        <v>1050.72</v>
      </c>
      <c r="EH1124" s="3"/>
      <c r="GS1124" s="3"/>
      <c r="GT1124" s="4"/>
      <c r="GU1124" s="4"/>
      <c r="GV1124" s="4"/>
      <c r="GW1124" s="4"/>
      <c r="GX1124" s="4"/>
      <c r="GY1124" s="4"/>
      <c r="GZ1124" s="4"/>
      <c r="HA1124" s="4"/>
    </row>
    <row r="1125" spans="1:209" ht="15.75" x14ac:dyDescent="0.2">
      <c r="A1125" s="59" t="s">
        <v>1825</v>
      </c>
      <c r="B1125" s="285" t="s">
        <v>1325</v>
      </c>
      <c r="C1125" s="298" t="s">
        <v>230</v>
      </c>
      <c r="D1125" s="15">
        <f>D1056</f>
        <v>640.45000000000005</v>
      </c>
      <c r="E1125" s="16">
        <f t="shared" si="112"/>
        <v>128.09</v>
      </c>
      <c r="F1125" s="164">
        <f t="shared" si="113"/>
        <v>768.54</v>
      </c>
      <c r="EH1125" s="3"/>
      <c r="GS1125" s="3"/>
      <c r="GT1125" s="4"/>
      <c r="GU1125" s="4"/>
      <c r="GV1125" s="4"/>
      <c r="GW1125" s="4"/>
      <c r="GX1125" s="4"/>
      <c r="GY1125" s="4"/>
      <c r="GZ1125" s="4"/>
      <c r="HA1125" s="4"/>
    </row>
    <row r="1126" spans="1:209" ht="15.75" x14ac:dyDescent="0.2">
      <c r="A1126" s="59" t="s">
        <v>1826</v>
      </c>
      <c r="B1126" s="285" t="s">
        <v>1326</v>
      </c>
      <c r="C1126" s="298" t="s">
        <v>230</v>
      </c>
      <c r="D1126" s="15">
        <f>D1058</f>
        <v>791.31</v>
      </c>
      <c r="E1126" s="16">
        <f t="shared" si="112"/>
        <v>158.26</v>
      </c>
      <c r="F1126" s="164">
        <f t="shared" si="113"/>
        <v>949.57</v>
      </c>
      <c r="EH1126" s="3"/>
      <c r="GS1126" s="3"/>
      <c r="GT1126" s="4"/>
      <c r="GU1126" s="4"/>
      <c r="GV1126" s="4"/>
      <c r="GW1126" s="4"/>
      <c r="GX1126" s="4"/>
      <c r="GY1126" s="4"/>
      <c r="GZ1126" s="4"/>
      <c r="HA1126" s="4"/>
    </row>
    <row r="1127" spans="1:209" ht="15.75" x14ac:dyDescent="0.2">
      <c r="A1127" s="59" t="s">
        <v>1827</v>
      </c>
      <c r="B1127" s="285" t="s">
        <v>1327</v>
      </c>
      <c r="C1127" s="298" t="s">
        <v>230</v>
      </c>
      <c r="D1127" s="15">
        <f>D1060</f>
        <v>777.67</v>
      </c>
      <c r="E1127" s="16">
        <f t="shared" si="112"/>
        <v>155.53</v>
      </c>
      <c r="F1127" s="164">
        <f t="shared" si="113"/>
        <v>933.2</v>
      </c>
      <c r="EH1127" s="3"/>
      <c r="GS1127" s="3"/>
      <c r="GT1127" s="4"/>
      <c r="GU1127" s="4"/>
      <c r="GV1127" s="4"/>
      <c r="GW1127" s="4"/>
      <c r="GX1127" s="4"/>
      <c r="GY1127" s="4"/>
      <c r="GZ1127" s="4"/>
      <c r="HA1127" s="4"/>
    </row>
    <row r="1128" spans="1:209" ht="15.75" x14ac:dyDescent="0.2">
      <c r="A1128" s="59" t="s">
        <v>1828</v>
      </c>
      <c r="B1128" s="285" t="s">
        <v>1328</v>
      </c>
      <c r="C1128" s="298" t="s">
        <v>230</v>
      </c>
      <c r="D1128" s="15">
        <f>D1062</f>
        <v>875.6</v>
      </c>
      <c r="E1128" s="16">
        <f t="shared" si="112"/>
        <v>175.12</v>
      </c>
      <c r="F1128" s="164">
        <f t="shared" si="113"/>
        <v>1050.72</v>
      </c>
      <c r="EH1128" s="3"/>
      <c r="GS1128" s="3"/>
      <c r="GT1128" s="4"/>
      <c r="GU1128" s="4"/>
      <c r="GV1128" s="4"/>
      <c r="GW1128" s="4"/>
      <c r="GX1128" s="4"/>
      <c r="GY1128" s="4"/>
      <c r="GZ1128" s="4"/>
      <c r="HA1128" s="4"/>
    </row>
    <row r="1129" spans="1:209" ht="15.75" x14ac:dyDescent="0.2">
      <c r="A1129" s="59" t="s">
        <v>1829</v>
      </c>
      <c r="B1129" s="236" t="s">
        <v>1329</v>
      </c>
      <c r="C1129" s="298" t="s">
        <v>230</v>
      </c>
      <c r="D1129" s="15">
        <v>846.93</v>
      </c>
      <c r="E1129" s="16">
        <f t="shared" si="112"/>
        <v>169.39</v>
      </c>
      <c r="F1129" s="164">
        <f t="shared" si="113"/>
        <v>1016.32</v>
      </c>
      <c r="EH1129" s="3"/>
      <c r="GS1129" s="335"/>
      <c r="GT1129" s="4"/>
      <c r="GU1129" s="4"/>
      <c r="GV1129" s="4"/>
      <c r="GW1129" s="4"/>
      <c r="GX1129" s="4"/>
      <c r="GY1129" s="4"/>
      <c r="GZ1129" s="4"/>
      <c r="HA1129" s="4"/>
    </row>
    <row r="1130" spans="1:209" ht="15.75" x14ac:dyDescent="0.25">
      <c r="A1130" s="59" t="s">
        <v>1830</v>
      </c>
      <c r="B1130" s="200" t="s">
        <v>1330</v>
      </c>
      <c r="C1130" s="298" t="s">
        <v>230</v>
      </c>
      <c r="D1130" s="15">
        <v>846.93</v>
      </c>
      <c r="E1130" s="16">
        <f t="shared" si="112"/>
        <v>169.39</v>
      </c>
      <c r="F1130" s="164">
        <f t="shared" si="113"/>
        <v>1016.32</v>
      </c>
      <c r="EH1130" s="3"/>
      <c r="GS1130" s="335"/>
      <c r="GT1130" s="4"/>
      <c r="GU1130" s="4"/>
      <c r="GV1130" s="4"/>
      <c r="GW1130" s="4"/>
      <c r="GX1130" s="4"/>
      <c r="GY1130" s="4"/>
      <c r="GZ1130" s="4"/>
      <c r="HA1130" s="4"/>
    </row>
    <row r="1131" spans="1:209" ht="15.75" x14ac:dyDescent="0.25">
      <c r="A1131" s="59" t="s">
        <v>1831</v>
      </c>
      <c r="B1131" s="200" t="s">
        <v>1331</v>
      </c>
      <c r="C1131" s="298" t="s">
        <v>230</v>
      </c>
      <c r="D1131" s="15">
        <v>846.93</v>
      </c>
      <c r="E1131" s="16">
        <f t="shared" si="112"/>
        <v>169.39</v>
      </c>
      <c r="F1131" s="164">
        <f t="shared" si="113"/>
        <v>1016.32</v>
      </c>
      <c r="EH1131" s="3"/>
      <c r="GS1131" s="335"/>
      <c r="GT1131" s="4"/>
      <c r="GU1131" s="4"/>
      <c r="GV1131" s="4"/>
      <c r="GW1131" s="4"/>
      <c r="GX1131" s="4"/>
      <c r="GY1131" s="4"/>
      <c r="GZ1131" s="4"/>
      <c r="HA1131" s="4"/>
    </row>
    <row r="1132" spans="1:209" ht="15.75" x14ac:dyDescent="0.2">
      <c r="A1132" s="290">
        <v>61</v>
      </c>
      <c r="B1132" s="330" t="s">
        <v>1332</v>
      </c>
      <c r="C1132" s="330"/>
      <c r="D1132" s="330"/>
      <c r="E1132" s="330"/>
      <c r="F1132" s="330"/>
      <c r="EH1132" s="3"/>
      <c r="GS1132" s="3"/>
      <c r="GT1132" s="4"/>
      <c r="GU1132" s="4"/>
      <c r="GV1132" s="4"/>
      <c r="GW1132" s="4"/>
      <c r="GX1132" s="4"/>
      <c r="GY1132" s="4"/>
      <c r="GZ1132" s="4"/>
      <c r="HA1132" s="4"/>
    </row>
    <row r="1133" spans="1:209" ht="15.75" x14ac:dyDescent="0.2">
      <c r="A1133" s="59" t="s">
        <v>1832</v>
      </c>
      <c r="B1133" s="187" t="s">
        <v>1333</v>
      </c>
      <c r="C1133" s="298" t="s">
        <v>230</v>
      </c>
      <c r="D1133" s="277">
        <v>821.29</v>
      </c>
      <c r="E1133" s="16">
        <f t="shared" ref="E1133:E1141" si="114">D1133*20%</f>
        <v>164.26</v>
      </c>
      <c r="F1133" s="164">
        <f t="shared" ref="F1133:F1138" si="115">D1133+E1133</f>
        <v>985.55</v>
      </c>
      <c r="EH1133" s="3"/>
      <c r="GS1133" s="3"/>
      <c r="GT1133" s="4"/>
      <c r="GU1133" s="4"/>
      <c r="GV1133" s="4"/>
      <c r="GW1133" s="4"/>
      <c r="GX1133" s="4"/>
      <c r="GY1133" s="4"/>
      <c r="GZ1133" s="4"/>
      <c r="HA1133" s="4"/>
    </row>
    <row r="1134" spans="1:209" ht="15.75" x14ac:dyDescent="0.25">
      <c r="A1134" s="59" t="s">
        <v>1833</v>
      </c>
      <c r="B1134" s="238" t="s">
        <v>1334</v>
      </c>
      <c r="C1134" s="298" t="s">
        <v>230</v>
      </c>
      <c r="D1134" s="277">
        <v>821.29</v>
      </c>
      <c r="E1134" s="16">
        <f t="shared" si="114"/>
        <v>164.26</v>
      </c>
      <c r="F1134" s="164">
        <f t="shared" si="115"/>
        <v>985.55</v>
      </c>
      <c r="EH1134" s="3"/>
      <c r="GS1134" s="3"/>
      <c r="GT1134" s="4"/>
      <c r="GU1134" s="4"/>
      <c r="GV1134" s="4"/>
      <c r="GW1134" s="4"/>
      <c r="GX1134" s="4"/>
      <c r="GY1134" s="4"/>
      <c r="GZ1134" s="4"/>
      <c r="HA1134" s="4"/>
    </row>
    <row r="1135" spans="1:209" ht="15.75" x14ac:dyDescent="0.2">
      <c r="A1135" s="59" t="s">
        <v>1834</v>
      </c>
      <c r="B1135" s="187" t="s">
        <v>1335</v>
      </c>
      <c r="C1135" s="298" t="s">
        <v>230</v>
      </c>
      <c r="D1135" s="277">
        <v>821.29</v>
      </c>
      <c r="E1135" s="16">
        <f t="shared" si="114"/>
        <v>164.26</v>
      </c>
      <c r="F1135" s="164">
        <f t="shared" si="115"/>
        <v>985.55</v>
      </c>
      <c r="EH1135" s="3"/>
      <c r="GS1135" s="3"/>
      <c r="GT1135" s="4"/>
      <c r="GU1135" s="4"/>
      <c r="GV1135" s="4"/>
      <c r="GW1135" s="4"/>
      <c r="GX1135" s="4"/>
      <c r="GY1135" s="4"/>
      <c r="GZ1135" s="4"/>
      <c r="HA1135" s="4"/>
    </row>
    <row r="1136" spans="1:209" ht="47.25" customHeight="1" x14ac:dyDescent="0.2">
      <c r="A1136" s="290" t="s">
        <v>1800</v>
      </c>
      <c r="B1136" s="239" t="s">
        <v>1295</v>
      </c>
      <c r="C1136" s="298" t="s">
        <v>230</v>
      </c>
      <c r="D1136" s="15">
        <v>299.85000000000002</v>
      </c>
      <c r="E1136" s="16">
        <f t="shared" si="114"/>
        <v>59.97</v>
      </c>
      <c r="F1136" s="164">
        <f t="shared" si="115"/>
        <v>359.82</v>
      </c>
      <c r="EH1136" s="3"/>
      <c r="GS1136" s="3"/>
      <c r="GT1136" s="4"/>
      <c r="GU1136" s="4"/>
      <c r="GV1136" s="4"/>
      <c r="GW1136" s="4"/>
      <c r="GX1136" s="4"/>
      <c r="GY1136" s="4"/>
      <c r="GZ1136" s="4"/>
      <c r="HA1136" s="4"/>
    </row>
    <row r="1137" spans="1:256" ht="18" customHeight="1" x14ac:dyDescent="0.2">
      <c r="A1137" s="290" t="s">
        <v>1801</v>
      </c>
      <c r="B1137" s="181" t="s">
        <v>1336</v>
      </c>
      <c r="C1137" s="298" t="s">
        <v>230</v>
      </c>
      <c r="D1137" s="15">
        <v>367.85</v>
      </c>
      <c r="E1137" s="16">
        <f t="shared" si="114"/>
        <v>73.569999999999993</v>
      </c>
      <c r="F1137" s="164">
        <f t="shared" si="115"/>
        <v>441.42</v>
      </c>
      <c r="EH1137" s="3"/>
      <c r="GS1137" s="3"/>
      <c r="GT1137" s="4"/>
      <c r="GU1137" s="4"/>
      <c r="GV1137" s="4"/>
      <c r="GW1137" s="4"/>
      <c r="GX1137" s="4"/>
      <c r="GY1137" s="4"/>
      <c r="GZ1137" s="4"/>
      <c r="HA1137" s="4"/>
    </row>
    <row r="1138" spans="1:256" s="77" customFormat="1" ht="65.25" customHeight="1" x14ac:dyDescent="0.2">
      <c r="A1138" s="331" t="s">
        <v>1802</v>
      </c>
      <c r="B1138" s="287" t="s">
        <v>1337</v>
      </c>
      <c r="C1138" s="311" t="s">
        <v>1338</v>
      </c>
      <c r="D1138" s="332">
        <v>101136.5</v>
      </c>
      <c r="E1138" s="333">
        <f t="shared" si="114"/>
        <v>20227.3</v>
      </c>
      <c r="F1138" s="333">
        <f t="shared" si="115"/>
        <v>121363.8</v>
      </c>
      <c r="G1138" s="2"/>
      <c r="EH1138" s="329" t="s">
        <v>1339</v>
      </c>
      <c r="GS1138" s="3"/>
      <c r="GT1138" s="4"/>
      <c r="GU1138" s="4"/>
      <c r="GV1138" s="4"/>
      <c r="GW1138" s="4"/>
      <c r="GX1138" s="4"/>
      <c r="GY1138" s="4"/>
      <c r="GZ1138" s="4"/>
      <c r="HA1138" s="4"/>
    </row>
    <row r="1139" spans="1:256" s="77" customFormat="1" ht="16.5" customHeight="1" x14ac:dyDescent="0.2">
      <c r="A1139" s="331"/>
      <c r="B1139" s="277" t="s">
        <v>1340</v>
      </c>
      <c r="C1139" s="311"/>
      <c r="D1139" s="332"/>
      <c r="E1139" s="333"/>
      <c r="F1139" s="333"/>
      <c r="G1139" s="2"/>
      <c r="EH1139" s="329"/>
      <c r="GS1139" s="3"/>
      <c r="GT1139" s="4"/>
      <c r="GU1139" s="4"/>
      <c r="GV1139" s="4"/>
      <c r="GW1139" s="4"/>
      <c r="GX1139" s="4"/>
      <c r="GY1139" s="4"/>
      <c r="GZ1139" s="4"/>
      <c r="HA1139" s="4"/>
    </row>
    <row r="1140" spans="1:256" s="77" customFormat="1" ht="20.25" customHeight="1" x14ac:dyDescent="0.2">
      <c r="A1140" s="331"/>
      <c r="B1140" s="277" t="s">
        <v>1341</v>
      </c>
      <c r="C1140" s="311"/>
      <c r="D1140" s="15">
        <v>129467.39</v>
      </c>
      <c r="E1140" s="16">
        <f t="shared" si="114"/>
        <v>25893.48</v>
      </c>
      <c r="F1140" s="16">
        <f>D1140+E1140</f>
        <v>155360.87</v>
      </c>
      <c r="G1140" s="2"/>
      <c r="EH1140" s="329"/>
      <c r="GS1140" s="3"/>
      <c r="GT1140" s="4"/>
      <c r="GU1140" s="4"/>
      <c r="GV1140" s="4"/>
      <c r="GW1140" s="4"/>
      <c r="GX1140" s="4"/>
      <c r="GY1140" s="4"/>
      <c r="GZ1140" s="4"/>
      <c r="HA1140" s="4"/>
    </row>
    <row r="1141" spans="1:256" s="77" customFormat="1" ht="20.25" customHeight="1" x14ac:dyDescent="0.2">
      <c r="A1141" s="331"/>
      <c r="B1141" s="277" t="s">
        <v>1342</v>
      </c>
      <c r="C1141" s="311"/>
      <c r="D1141" s="15">
        <v>186129.17</v>
      </c>
      <c r="E1141" s="16">
        <f t="shared" si="114"/>
        <v>37225.83</v>
      </c>
      <c r="F1141" s="16">
        <f>D1141+E1141</f>
        <v>223355</v>
      </c>
      <c r="G1141" s="2"/>
      <c r="EH1141" s="329"/>
      <c r="GS1141" s="3"/>
      <c r="GT1141" s="4"/>
      <c r="GU1141" s="4"/>
      <c r="GV1141" s="4"/>
      <c r="GW1141" s="4"/>
      <c r="GX1141" s="4"/>
      <c r="GY1141" s="4"/>
      <c r="GZ1141" s="4"/>
      <c r="HA1141" s="4"/>
    </row>
    <row r="1142" spans="1:256" ht="12.75" customHeight="1" x14ac:dyDescent="0.2">
      <c r="A1142" s="240"/>
      <c r="B1142" s="241"/>
      <c r="C1142" s="190"/>
      <c r="D1142" s="190"/>
      <c r="E1142" s="229"/>
      <c r="F1142" s="229"/>
      <c r="EH1142" s="3"/>
      <c r="GS1142" s="3"/>
      <c r="GT1142" s="4"/>
      <c r="GU1142" s="4"/>
      <c r="GV1142" s="4"/>
      <c r="GW1142" s="4"/>
      <c r="GX1142" s="4"/>
      <c r="GY1142" s="4"/>
      <c r="GZ1142" s="4"/>
      <c r="HA1142" s="4"/>
    </row>
    <row r="1143" spans="1:256" ht="89.25" customHeight="1" x14ac:dyDescent="0.2">
      <c r="A1143" s="319" t="s">
        <v>1763</v>
      </c>
      <c r="B1143" s="319"/>
      <c r="C1143" s="319"/>
      <c r="D1143" s="319"/>
      <c r="E1143" s="319"/>
      <c r="F1143" s="319"/>
      <c r="EH1143" s="3"/>
      <c r="GS1143" s="3"/>
      <c r="GT1143" s="4"/>
      <c r="GU1143" s="4"/>
      <c r="GV1143" s="4"/>
      <c r="GW1143" s="4"/>
      <c r="GX1143" s="4"/>
      <c r="GY1143" s="4"/>
      <c r="GZ1143" s="4"/>
      <c r="HA1143" s="4"/>
    </row>
    <row r="1144" spans="1:256" ht="66" customHeight="1" x14ac:dyDescent="0.2">
      <c r="A1144" s="178" t="s">
        <v>1343</v>
      </c>
      <c r="B1144" s="278" t="s">
        <v>1072</v>
      </c>
      <c r="C1144" s="278" t="s">
        <v>6</v>
      </c>
      <c r="D1144" s="296" t="s">
        <v>7</v>
      </c>
      <c r="E1144" s="8" t="s">
        <v>8</v>
      </c>
      <c r="F1144" s="296" t="s">
        <v>9</v>
      </c>
      <c r="EH1144" s="3"/>
      <c r="GS1144" s="3"/>
      <c r="GT1144" s="4"/>
      <c r="GU1144" s="4"/>
      <c r="GV1144" s="4"/>
      <c r="GW1144" s="4"/>
      <c r="GX1144" s="4"/>
      <c r="GY1144" s="4"/>
      <c r="GZ1144" s="4"/>
      <c r="HA1144" s="4"/>
    </row>
    <row r="1145" spans="1:256" ht="15.75" x14ac:dyDescent="0.2">
      <c r="A1145" s="178">
        <v>1</v>
      </c>
      <c r="B1145" s="242">
        <v>2</v>
      </c>
      <c r="C1145" s="242">
        <v>3</v>
      </c>
      <c r="D1145" s="242">
        <v>4</v>
      </c>
      <c r="E1145" s="242">
        <v>5</v>
      </c>
      <c r="F1145" s="242">
        <v>6</v>
      </c>
      <c r="EH1145" s="3"/>
      <c r="GS1145" s="3"/>
      <c r="GT1145" s="4"/>
      <c r="GU1145" s="4"/>
      <c r="GV1145" s="4"/>
      <c r="GW1145" s="4"/>
      <c r="GX1145" s="4"/>
      <c r="GY1145" s="4"/>
      <c r="GZ1145" s="4"/>
      <c r="HA1145" s="4"/>
    </row>
    <row r="1146" spans="1:256" ht="18.75" customHeight="1" x14ac:dyDescent="0.2">
      <c r="A1146" s="312" t="s">
        <v>1344</v>
      </c>
      <c r="B1146" s="312"/>
      <c r="C1146" s="312"/>
      <c r="D1146" s="312"/>
      <c r="E1146" s="312"/>
      <c r="F1146" s="312"/>
      <c r="EH1146" s="3"/>
      <c r="GS1146" s="3"/>
      <c r="GT1146" s="4"/>
      <c r="GU1146" s="4"/>
      <c r="GV1146" s="4"/>
      <c r="GW1146" s="4"/>
      <c r="GX1146" s="4"/>
      <c r="GY1146" s="4"/>
      <c r="GZ1146" s="4"/>
      <c r="HA1146" s="4"/>
      <c r="IV1146">
        <f>(4.5+100)/100</f>
        <v>1.0449999999999999</v>
      </c>
    </row>
    <row r="1147" spans="1:256" ht="50.25" customHeight="1" x14ac:dyDescent="0.2">
      <c r="A1147" s="178" t="s">
        <v>200</v>
      </c>
      <c r="B1147" s="285" t="s">
        <v>1345</v>
      </c>
      <c r="C1147" s="277" t="s">
        <v>991</v>
      </c>
      <c r="D1147" s="295">
        <f>150.46*1.05</f>
        <v>157.97999999999999</v>
      </c>
      <c r="E1147" s="16">
        <f t="shared" ref="E1147:E1153" si="116">D1147*20%</f>
        <v>31.6</v>
      </c>
      <c r="F1147" s="164">
        <f>D1147+E1147</f>
        <v>189.58</v>
      </c>
      <c r="EH1147" s="3"/>
      <c r="GS1147" s="3"/>
      <c r="GT1147" s="4"/>
      <c r="GU1147" s="4"/>
      <c r="GV1147" s="4"/>
      <c r="GW1147" s="4"/>
      <c r="GX1147" s="4"/>
      <c r="GY1147" s="4"/>
      <c r="GZ1147" s="4"/>
      <c r="HA1147" s="4"/>
      <c r="HF1147" s="243"/>
      <c r="HG1147" s="209"/>
      <c r="IU1147" s="162">
        <v>66.489999999999995</v>
      </c>
      <c r="IV1147" s="198">
        <f>66.49*1.045</f>
        <v>69.48</v>
      </c>
    </row>
    <row r="1148" spans="1:256" ht="47.25" x14ac:dyDescent="0.2">
      <c r="A1148" s="178" t="s">
        <v>204</v>
      </c>
      <c r="B1148" s="285" t="s">
        <v>1346</v>
      </c>
      <c r="C1148" s="277" t="s">
        <v>991</v>
      </c>
      <c r="D1148" s="295">
        <f>150.46*1.05</f>
        <v>157.97999999999999</v>
      </c>
      <c r="E1148" s="16">
        <f t="shared" si="116"/>
        <v>31.6</v>
      </c>
      <c r="F1148" s="164">
        <f>D1148+E1148</f>
        <v>189.58</v>
      </c>
      <c r="EH1148" s="3"/>
      <c r="GS1148" s="3"/>
      <c r="GT1148" s="4"/>
      <c r="GU1148" s="4"/>
      <c r="GV1148" s="4"/>
      <c r="GW1148" s="4"/>
      <c r="GX1148" s="4"/>
      <c r="GY1148" s="4"/>
      <c r="GZ1148" s="4"/>
      <c r="HA1148" s="4"/>
      <c r="HF1148" s="243"/>
      <c r="HG1148" s="209"/>
      <c r="IU1148" s="162">
        <v>66.489999999999995</v>
      </c>
      <c r="IV1148" s="198">
        <f>66.49*1.045</f>
        <v>69.48</v>
      </c>
    </row>
    <row r="1149" spans="1:256" ht="15.75" x14ac:dyDescent="0.2">
      <c r="A1149" s="178" t="s">
        <v>527</v>
      </c>
      <c r="B1149" s="285" t="s">
        <v>1347</v>
      </c>
      <c r="C1149" s="277"/>
      <c r="D1149" s="295"/>
      <c r="E1149" s="16"/>
      <c r="F1149" s="164"/>
      <c r="EH1149" s="3"/>
      <c r="GS1149" s="3"/>
      <c r="GT1149" s="4"/>
      <c r="GU1149" s="4"/>
      <c r="GV1149" s="4"/>
      <c r="GW1149" s="4"/>
      <c r="GX1149" s="4"/>
      <c r="GY1149" s="4"/>
      <c r="GZ1149" s="4"/>
      <c r="HA1149" s="4"/>
      <c r="HF1149" s="243"/>
      <c r="HG1149" s="209"/>
      <c r="IU1149" s="162"/>
      <c r="IV1149" s="198"/>
    </row>
    <row r="1150" spans="1:256" ht="15.75" x14ac:dyDescent="0.2">
      <c r="A1150" s="288" t="s">
        <v>1348</v>
      </c>
      <c r="B1150" s="285" t="s">
        <v>1349</v>
      </c>
      <c r="C1150" s="277" t="s">
        <v>1350</v>
      </c>
      <c r="D1150" s="295">
        <f>45.91*1.04*1.05</f>
        <v>50.13</v>
      </c>
      <c r="E1150" s="16">
        <f t="shared" si="116"/>
        <v>10.029999999999999</v>
      </c>
      <c r="F1150" s="164">
        <f>D1150+E1150</f>
        <v>60.16</v>
      </c>
      <c r="EH1150" s="3"/>
      <c r="GS1150" s="3"/>
      <c r="GT1150" s="4"/>
      <c r="GU1150" s="4"/>
      <c r="GV1150" s="4"/>
      <c r="GW1150" s="4"/>
      <c r="GX1150" s="4"/>
      <c r="GY1150" s="4"/>
      <c r="GZ1150" s="4"/>
      <c r="HA1150" s="4"/>
      <c r="HF1150" s="243"/>
      <c r="HG1150" s="209"/>
      <c r="IU1150" s="162">
        <v>43.93</v>
      </c>
      <c r="IV1150" s="198">
        <f>43.93*1.045</f>
        <v>45.91</v>
      </c>
    </row>
    <row r="1151" spans="1:256" ht="15.75" x14ac:dyDescent="0.2">
      <c r="A1151" s="288" t="s">
        <v>1351</v>
      </c>
      <c r="B1151" s="285" t="s">
        <v>1352</v>
      </c>
      <c r="C1151" s="277" t="s">
        <v>1350</v>
      </c>
      <c r="D1151" s="295">
        <f>24.09*1.04*1.05</f>
        <v>26.31</v>
      </c>
      <c r="E1151" s="16">
        <f t="shared" si="116"/>
        <v>5.26</v>
      </c>
      <c r="F1151" s="164">
        <f>D1151+E1151</f>
        <v>31.57</v>
      </c>
      <c r="EH1151" s="3"/>
      <c r="GS1151" s="3"/>
      <c r="GT1151" s="4"/>
      <c r="GU1151" s="4"/>
      <c r="GV1151" s="4"/>
      <c r="GW1151" s="4"/>
      <c r="GX1151" s="4"/>
      <c r="GY1151" s="4"/>
      <c r="GZ1151" s="4"/>
      <c r="HA1151" s="4"/>
      <c r="HF1151" s="244"/>
      <c r="HG1151" s="209"/>
      <c r="IU1151" s="129">
        <v>21.95</v>
      </c>
      <c r="IV1151" s="198">
        <f>21.95*1.045</f>
        <v>22.94</v>
      </c>
    </row>
    <row r="1152" spans="1:256" ht="15.75" x14ac:dyDescent="0.2">
      <c r="A1152" s="288" t="s">
        <v>1353</v>
      </c>
      <c r="B1152" s="285" t="s">
        <v>1354</v>
      </c>
      <c r="C1152" s="277" t="s">
        <v>1350</v>
      </c>
      <c r="D1152" s="295">
        <f>68.86*1.04*1.05</f>
        <v>75.2</v>
      </c>
      <c r="E1152" s="16">
        <f t="shared" si="116"/>
        <v>15.04</v>
      </c>
      <c r="F1152" s="164">
        <f>D1152+E1152</f>
        <v>90.24</v>
      </c>
      <c r="EH1152" s="3"/>
      <c r="GS1152" s="3"/>
      <c r="GT1152" s="4"/>
      <c r="GU1152" s="4"/>
      <c r="GV1152" s="4"/>
      <c r="GW1152" s="4"/>
      <c r="GX1152" s="4"/>
      <c r="GY1152" s="4"/>
      <c r="GZ1152" s="4"/>
      <c r="HA1152" s="4"/>
      <c r="HF1152" s="245"/>
      <c r="HG1152" s="209"/>
      <c r="IU1152" s="125">
        <v>65.89</v>
      </c>
      <c r="IV1152" s="198">
        <f>65.89*1.045</f>
        <v>68.86</v>
      </c>
    </row>
    <row r="1153" spans="1:256" ht="33.75" customHeight="1" x14ac:dyDescent="0.2">
      <c r="A1153" s="178" t="s">
        <v>529</v>
      </c>
      <c r="B1153" s="285" t="s">
        <v>1862</v>
      </c>
      <c r="C1153" s="277" t="s">
        <v>991</v>
      </c>
      <c r="D1153" s="295">
        <f>124.02*1.05</f>
        <v>130.22</v>
      </c>
      <c r="E1153" s="16">
        <f t="shared" si="116"/>
        <v>26.04</v>
      </c>
      <c r="F1153" s="164">
        <f>D1153+E1153</f>
        <v>156.26</v>
      </c>
      <c r="EH1153" s="3"/>
      <c r="GS1153" s="3"/>
      <c r="GT1153" s="4"/>
      <c r="GU1153" s="4"/>
      <c r="GV1153" s="4"/>
      <c r="GW1153" s="4"/>
      <c r="GX1153" s="4"/>
      <c r="GY1153" s="4"/>
      <c r="GZ1153" s="4"/>
      <c r="HA1153" s="4"/>
      <c r="HF1153" s="243"/>
      <c r="HG1153" s="209"/>
      <c r="IU1153" s="162">
        <v>66.489999999999995</v>
      </c>
      <c r="IV1153" s="198">
        <f>66.49*1.045</f>
        <v>69.48</v>
      </c>
    </row>
    <row r="1154" spans="1:256" ht="42.75" customHeight="1" x14ac:dyDescent="0.2">
      <c r="A1154" s="312" t="s">
        <v>1355</v>
      </c>
      <c r="B1154" s="312"/>
      <c r="C1154" s="312"/>
      <c r="D1154" s="312"/>
      <c r="E1154" s="312"/>
      <c r="F1154" s="312"/>
      <c r="EH1154" s="3"/>
      <c r="GS1154" s="3"/>
      <c r="GT1154" s="4"/>
      <c r="GU1154" s="4"/>
      <c r="GV1154" s="4"/>
      <c r="GW1154" s="4"/>
      <c r="GX1154" s="4"/>
      <c r="GY1154" s="4"/>
      <c r="GZ1154" s="4"/>
      <c r="HA1154" s="4"/>
    </row>
    <row r="1155" spans="1:256" ht="63" customHeight="1" x14ac:dyDescent="0.2">
      <c r="A1155" s="178" t="s">
        <v>11</v>
      </c>
      <c r="B1155" s="326" t="s">
        <v>1868</v>
      </c>
      <c r="C1155" s="326"/>
      <c r="D1155" s="326"/>
      <c r="E1155" s="326"/>
      <c r="F1155" s="326"/>
      <c r="EH1155" s="3"/>
      <c r="GS1155" s="3"/>
      <c r="GT1155" s="4"/>
      <c r="GU1155" s="4"/>
      <c r="GV1155" s="4"/>
      <c r="GW1155" s="4"/>
      <c r="GX1155" s="4"/>
      <c r="GY1155" s="4"/>
      <c r="GZ1155" s="4"/>
      <c r="HA1155" s="4"/>
    </row>
    <row r="1156" spans="1:256" ht="78.75" customHeight="1" x14ac:dyDescent="0.2">
      <c r="A1156" s="288" t="s">
        <v>200</v>
      </c>
      <c r="B1156" s="313" t="s">
        <v>1356</v>
      </c>
      <c r="C1156" s="313"/>
      <c r="D1156" s="313"/>
      <c r="E1156" s="313"/>
      <c r="F1156" s="313"/>
      <c r="EH1156" s="3"/>
      <c r="GS1156" s="2"/>
      <c r="GT1156" s="4"/>
      <c r="GU1156" s="4"/>
      <c r="GV1156" s="4"/>
      <c r="GW1156" s="4"/>
      <c r="GX1156" s="4"/>
      <c r="GY1156" s="4"/>
      <c r="GZ1156" s="4"/>
      <c r="HA1156" s="4"/>
    </row>
    <row r="1157" spans="1:256" ht="15.75" x14ac:dyDescent="0.2">
      <c r="A1157" s="289" t="s">
        <v>1357</v>
      </c>
      <c r="B1157" s="181" t="s">
        <v>1358</v>
      </c>
      <c r="C1157" s="277" t="s">
        <v>202</v>
      </c>
      <c r="D1157" s="295">
        <f>0.87*1.04*1.05</f>
        <v>0.95</v>
      </c>
      <c r="E1157" s="16">
        <f>D1157*20%</f>
        <v>0.19</v>
      </c>
      <c r="F1157" s="164">
        <f>D1157+E1157</f>
        <v>1.1399999999999999</v>
      </c>
      <c r="EH1157" s="3"/>
      <c r="GS1157" s="2"/>
      <c r="GT1157" s="4"/>
      <c r="GU1157" s="4"/>
      <c r="GV1157" s="4"/>
      <c r="GW1157" s="4"/>
      <c r="GX1157" s="4"/>
      <c r="GY1157" s="4"/>
      <c r="GZ1157" s="4"/>
      <c r="HA1157" s="4"/>
      <c r="HF1157" s="243"/>
      <c r="HG1157" s="209"/>
      <c r="IU1157" s="162">
        <v>0.44</v>
      </c>
      <c r="IV1157" s="198">
        <f>0.44*1.045</f>
        <v>0.46</v>
      </c>
    </row>
    <row r="1158" spans="1:256" ht="15.75" x14ac:dyDescent="0.2">
      <c r="A1158" s="289" t="s">
        <v>1359</v>
      </c>
      <c r="B1158" s="181" t="s">
        <v>1360</v>
      </c>
      <c r="C1158" s="277" t="s">
        <v>113</v>
      </c>
      <c r="D1158" s="295">
        <f>329.4*1.04*1.05</f>
        <v>359.7</v>
      </c>
      <c r="E1158" s="16">
        <f>D1158*20%</f>
        <v>71.94</v>
      </c>
      <c r="F1158" s="164">
        <f>D1158+E1158</f>
        <v>431.64</v>
      </c>
      <c r="EH1158" s="3"/>
      <c r="GS1158" s="2"/>
      <c r="GT1158" s="4"/>
      <c r="GU1158" s="4"/>
      <c r="GV1158" s="4"/>
      <c r="GW1158" s="4"/>
      <c r="GX1158" s="4"/>
      <c r="GY1158" s="4"/>
      <c r="GZ1158" s="4"/>
      <c r="HA1158" s="4"/>
      <c r="HF1158" s="243"/>
      <c r="HG1158" s="209"/>
      <c r="IU1158" s="162">
        <v>303.08999999999997</v>
      </c>
      <c r="IV1158" s="198">
        <f>303.09*1.045</f>
        <v>316.73</v>
      </c>
    </row>
    <row r="1159" spans="1:256" ht="15.75" x14ac:dyDescent="0.2">
      <c r="A1159" s="289" t="s">
        <v>1361</v>
      </c>
      <c r="B1159" s="181" t="s">
        <v>1362</v>
      </c>
      <c r="C1159" s="277" t="s">
        <v>113</v>
      </c>
      <c r="D1159" s="295">
        <f>344.92*1.04*1.05</f>
        <v>376.65</v>
      </c>
      <c r="E1159" s="16">
        <f>D1159*20%</f>
        <v>75.33</v>
      </c>
      <c r="F1159" s="164">
        <f>D1159+E1159</f>
        <v>451.98</v>
      </c>
      <c r="EH1159" s="3"/>
      <c r="GS1159" s="2"/>
      <c r="GT1159" s="4"/>
      <c r="GU1159" s="4"/>
      <c r="GV1159" s="4"/>
      <c r="GW1159" s="4"/>
      <c r="GX1159" s="4"/>
      <c r="GY1159" s="4"/>
      <c r="GZ1159" s="4"/>
      <c r="HA1159" s="4"/>
      <c r="HF1159" s="243"/>
      <c r="HG1159" s="209"/>
      <c r="IU1159" s="162">
        <v>317.37</v>
      </c>
      <c r="IV1159" s="198">
        <f>317.37*1.045</f>
        <v>331.65</v>
      </c>
    </row>
    <row r="1160" spans="1:256" ht="15.75" x14ac:dyDescent="0.2">
      <c r="A1160" s="289" t="s">
        <v>1363</v>
      </c>
      <c r="B1160" s="181" t="s">
        <v>1364</v>
      </c>
      <c r="C1160" s="277" t="s">
        <v>113</v>
      </c>
      <c r="D1160" s="295">
        <f>359.94*1.04*1.05</f>
        <v>393.05</v>
      </c>
      <c r="E1160" s="16">
        <f>D1160*20%</f>
        <v>78.61</v>
      </c>
      <c r="F1160" s="164">
        <f>D1160+E1160</f>
        <v>471.66</v>
      </c>
      <c r="EH1160" s="3"/>
      <c r="GS1160" s="2"/>
      <c r="GT1160" s="4"/>
      <c r="GU1160" s="4"/>
      <c r="GV1160" s="4"/>
      <c r="GW1160" s="4"/>
      <c r="GX1160" s="4"/>
      <c r="GY1160" s="4"/>
      <c r="GZ1160" s="4"/>
      <c r="HA1160" s="4"/>
      <c r="HF1160" s="243"/>
      <c r="HG1160" s="209"/>
      <c r="IU1160" s="162">
        <v>331.2</v>
      </c>
      <c r="IV1160" s="198">
        <f>331.2*1.045</f>
        <v>346.1</v>
      </c>
    </row>
    <row r="1161" spans="1:256" ht="31.5" customHeight="1" x14ac:dyDescent="0.2">
      <c r="A1161" s="289" t="s">
        <v>204</v>
      </c>
      <c r="B1161" s="279" t="s">
        <v>1365</v>
      </c>
      <c r="C1161" s="277" t="s">
        <v>202</v>
      </c>
      <c r="D1161" s="295">
        <f>0.31*1.04*1.05</f>
        <v>0.34</v>
      </c>
      <c r="E1161" s="16">
        <f>D1161*20%</f>
        <v>7.0000000000000007E-2</v>
      </c>
      <c r="F1161" s="164">
        <f>D1161+E1161</f>
        <v>0.41</v>
      </c>
      <c r="EH1161" s="3"/>
      <c r="GS1161" s="2"/>
      <c r="GT1161" s="4"/>
      <c r="GU1161" s="4"/>
      <c r="GV1161" s="4"/>
      <c r="GW1161" s="4"/>
      <c r="GX1161" s="4"/>
      <c r="GY1161" s="4"/>
      <c r="GZ1161" s="4"/>
      <c r="HA1161" s="4"/>
      <c r="HF1161" s="243"/>
      <c r="HG1161" s="209"/>
      <c r="IU1161" s="162">
        <v>0.03</v>
      </c>
      <c r="IV1161" s="198">
        <f>0.03*1.045</f>
        <v>0.03</v>
      </c>
    </row>
    <row r="1162" spans="1:256" ht="15.75" x14ac:dyDescent="0.2">
      <c r="A1162" s="289" t="s">
        <v>527</v>
      </c>
      <c r="B1162" s="313" t="s">
        <v>1366</v>
      </c>
      <c r="C1162" s="313"/>
      <c r="D1162" s="313"/>
      <c r="E1162" s="313"/>
      <c r="F1162" s="313"/>
      <c r="EH1162" s="3"/>
      <c r="GS1162" s="2"/>
      <c r="GT1162" s="4"/>
      <c r="GU1162" s="4"/>
      <c r="GV1162" s="4"/>
      <c r="GW1162" s="4"/>
      <c r="GX1162" s="4"/>
      <c r="GY1162" s="4"/>
      <c r="GZ1162" s="4"/>
      <c r="HA1162" s="4"/>
      <c r="HG1162" s="209"/>
    </row>
    <row r="1163" spans="1:256" ht="15.75" x14ac:dyDescent="0.2">
      <c r="A1163" s="289" t="s">
        <v>1348</v>
      </c>
      <c r="B1163" s="285" t="s">
        <v>1367</v>
      </c>
      <c r="C1163" s="277" t="s">
        <v>1368</v>
      </c>
      <c r="D1163" s="295">
        <f>0.72*1.04*1.05</f>
        <v>0.79</v>
      </c>
      <c r="E1163" s="16">
        <f>D1163*20%</f>
        <v>0.16</v>
      </c>
      <c r="F1163" s="164">
        <f>D1163+E1163</f>
        <v>0.95</v>
      </c>
      <c r="EH1163" s="3"/>
      <c r="GS1163" s="2"/>
      <c r="GT1163" s="4"/>
      <c r="GU1163" s="4"/>
      <c r="GV1163" s="4"/>
      <c r="GW1163" s="4"/>
      <c r="GX1163" s="4"/>
      <c r="GY1163" s="4"/>
      <c r="GZ1163" s="4"/>
      <c r="HA1163" s="4"/>
      <c r="HF1163" s="243"/>
      <c r="HG1163" s="209"/>
      <c r="IU1163" s="162">
        <v>0.66</v>
      </c>
      <c r="IV1163" s="198">
        <f>0.66*1.045</f>
        <v>0.69</v>
      </c>
    </row>
    <row r="1164" spans="1:256" ht="15.75" x14ac:dyDescent="0.2">
      <c r="A1164" s="289" t="s">
        <v>1351</v>
      </c>
      <c r="B1164" s="285" t="s">
        <v>1369</v>
      </c>
      <c r="C1164" s="277" t="s">
        <v>113</v>
      </c>
      <c r="D1164" s="295">
        <f>716.08*1.04*1.05</f>
        <v>781.96</v>
      </c>
      <c r="E1164" s="16">
        <f>D1164*20%</f>
        <v>156.38999999999999</v>
      </c>
      <c r="F1164" s="164">
        <f>D1164+E1164</f>
        <v>938.35</v>
      </c>
      <c r="EH1164" s="3"/>
      <c r="GS1164" s="2"/>
      <c r="GT1164" s="4"/>
      <c r="GU1164" s="4"/>
      <c r="GV1164" s="4"/>
      <c r="GW1164" s="4"/>
      <c r="GX1164" s="4"/>
      <c r="GY1164" s="4"/>
      <c r="GZ1164" s="4"/>
      <c r="HA1164" s="4"/>
      <c r="HF1164" s="243"/>
      <c r="HG1164" s="209"/>
      <c r="IU1164" s="162">
        <v>658.89</v>
      </c>
      <c r="IV1164" s="198">
        <f>658.89*1.045</f>
        <v>688.54</v>
      </c>
    </row>
    <row r="1165" spans="1:256" ht="15.75" x14ac:dyDescent="0.2">
      <c r="A1165" s="289" t="s">
        <v>1353</v>
      </c>
      <c r="B1165" s="285" t="s">
        <v>1370</v>
      </c>
      <c r="C1165" s="277" t="s">
        <v>113</v>
      </c>
      <c r="D1165" s="295">
        <f>835.42*1.04*1.05</f>
        <v>912.28</v>
      </c>
      <c r="E1165" s="16">
        <f>D1165*20%</f>
        <v>182.46</v>
      </c>
      <c r="F1165" s="164">
        <f>D1165+E1165</f>
        <v>1094.74</v>
      </c>
      <c r="EH1165" s="3"/>
      <c r="GS1165" s="2"/>
      <c r="GT1165" s="4"/>
      <c r="GU1165" s="4"/>
      <c r="GV1165" s="4"/>
      <c r="GW1165" s="4"/>
      <c r="GX1165" s="4"/>
      <c r="GY1165" s="4"/>
      <c r="GZ1165" s="4"/>
      <c r="HA1165" s="4"/>
      <c r="HF1165" s="243"/>
      <c r="HG1165" s="209"/>
      <c r="IU1165" s="162">
        <v>768.7</v>
      </c>
      <c r="IV1165" s="198">
        <f>768.7*1.045</f>
        <v>803.29</v>
      </c>
    </row>
    <row r="1166" spans="1:256" ht="15.75" x14ac:dyDescent="0.2">
      <c r="A1166" s="289" t="s">
        <v>1371</v>
      </c>
      <c r="B1166" s="285" t="s">
        <v>1372</v>
      </c>
      <c r="C1166" s="277" t="s">
        <v>113</v>
      </c>
      <c r="D1166" s="295">
        <f>974.11*1.04*1.05</f>
        <v>1063.73</v>
      </c>
      <c r="E1166" s="16">
        <f>D1166*20%</f>
        <v>212.75</v>
      </c>
      <c r="F1166" s="164">
        <f>D1166+E1166</f>
        <v>1276.48</v>
      </c>
      <c r="EH1166" s="3"/>
      <c r="GS1166" s="2"/>
      <c r="GT1166" s="4"/>
      <c r="GU1166" s="4"/>
      <c r="GV1166" s="4"/>
      <c r="GW1166" s="4"/>
      <c r="GX1166" s="4"/>
      <c r="GY1166" s="4"/>
      <c r="GZ1166" s="4"/>
      <c r="HA1166" s="4"/>
      <c r="HF1166" s="243"/>
      <c r="HG1166" s="209"/>
      <c r="IU1166" s="162">
        <v>896.31</v>
      </c>
      <c r="IV1166" s="198">
        <f>896.31*1.045</f>
        <v>936.64</v>
      </c>
    </row>
    <row r="1167" spans="1:256" ht="15" customHeight="1" x14ac:dyDescent="0.2">
      <c r="A1167" s="289" t="s">
        <v>529</v>
      </c>
      <c r="B1167" s="313" t="s">
        <v>1373</v>
      </c>
      <c r="C1167" s="313"/>
      <c r="D1167" s="313"/>
      <c r="E1167" s="313"/>
      <c r="F1167" s="313"/>
      <c r="EH1167" s="3"/>
      <c r="GS1167" s="2"/>
      <c r="GT1167" s="4"/>
      <c r="GU1167" s="4"/>
      <c r="GV1167" s="4"/>
      <c r="GW1167" s="4"/>
      <c r="GX1167" s="4"/>
      <c r="GY1167" s="4"/>
      <c r="GZ1167" s="4"/>
      <c r="HA1167" s="4"/>
    </row>
    <row r="1168" spans="1:256" ht="32.25" customHeight="1" x14ac:dyDescent="0.2">
      <c r="A1168" s="289" t="s">
        <v>1374</v>
      </c>
      <c r="B1168" s="313" t="s">
        <v>1375</v>
      </c>
      <c r="C1168" s="313"/>
      <c r="D1168" s="313"/>
      <c r="E1168" s="313"/>
      <c r="F1168" s="313"/>
      <c r="EH1168" s="3"/>
      <c r="GS1168" s="2"/>
      <c r="GT1168" s="4"/>
      <c r="GU1168" s="4"/>
      <c r="GV1168" s="4"/>
      <c r="GW1168" s="4"/>
      <c r="GX1168" s="4"/>
      <c r="GY1168" s="4"/>
      <c r="GZ1168" s="4"/>
      <c r="HA1168" s="4"/>
    </row>
    <row r="1169" spans="1:256" ht="15.75" x14ac:dyDescent="0.2">
      <c r="A1169" s="289" t="s">
        <v>1376</v>
      </c>
      <c r="B1169" s="285" t="s">
        <v>1377</v>
      </c>
      <c r="C1169" s="277" t="s">
        <v>113</v>
      </c>
      <c r="D1169" s="295">
        <f>318.18*1.04*1.05</f>
        <v>347.45</v>
      </c>
      <c r="E1169" s="16">
        <f>D1169*20%</f>
        <v>69.489999999999995</v>
      </c>
      <c r="F1169" s="164">
        <f>D1169+E1169</f>
        <v>416.94</v>
      </c>
      <c r="EH1169" s="3"/>
      <c r="GS1169" s="2"/>
      <c r="GT1169" s="4"/>
      <c r="GU1169" s="4"/>
      <c r="GV1169" s="4"/>
      <c r="GW1169" s="4"/>
      <c r="GX1169" s="4"/>
      <c r="GY1169" s="4"/>
      <c r="GZ1169" s="4"/>
      <c r="HA1169" s="4"/>
      <c r="HF1169" s="243"/>
      <c r="HG1169" s="209"/>
      <c r="IU1169" s="162">
        <v>292.77</v>
      </c>
      <c r="IV1169" s="198">
        <f>292.77*1.045</f>
        <v>305.94</v>
      </c>
    </row>
    <row r="1170" spans="1:256" ht="15.75" x14ac:dyDescent="0.2">
      <c r="A1170" s="289" t="s">
        <v>1378</v>
      </c>
      <c r="B1170" s="285" t="s">
        <v>1379</v>
      </c>
      <c r="C1170" s="277" t="s">
        <v>113</v>
      </c>
      <c r="D1170" s="295">
        <f>424.38*1.04*1.05</f>
        <v>463.42</v>
      </c>
      <c r="E1170" s="16">
        <f>D1170*20%</f>
        <v>92.68</v>
      </c>
      <c r="F1170" s="164">
        <f>D1170+E1170</f>
        <v>556.1</v>
      </c>
      <c r="EH1170" s="3"/>
      <c r="GS1170" s="2"/>
      <c r="GT1170" s="4"/>
      <c r="GU1170" s="4"/>
      <c r="GV1170" s="4"/>
      <c r="GW1170" s="4"/>
      <c r="GX1170" s="4"/>
      <c r="GY1170" s="4"/>
      <c r="GZ1170" s="4"/>
      <c r="HA1170" s="4"/>
      <c r="HF1170" s="243"/>
      <c r="HG1170" s="209"/>
      <c r="IU1170" s="162">
        <v>390.49</v>
      </c>
      <c r="IV1170" s="198">
        <f>390.49*1.045</f>
        <v>408.06</v>
      </c>
    </row>
    <row r="1171" spans="1:256" ht="15.75" x14ac:dyDescent="0.2">
      <c r="A1171" s="289" t="s">
        <v>1380</v>
      </c>
      <c r="B1171" s="285" t="s">
        <v>1381</v>
      </c>
      <c r="C1171" s="277" t="s">
        <v>113</v>
      </c>
      <c r="D1171" s="295">
        <f>530.61*1.04*1.05</f>
        <v>579.42999999999995</v>
      </c>
      <c r="E1171" s="16">
        <f>D1171*20%</f>
        <v>115.89</v>
      </c>
      <c r="F1171" s="164">
        <f>D1171+E1171</f>
        <v>695.32</v>
      </c>
      <c r="EH1171" s="3"/>
      <c r="GS1171" s="2"/>
      <c r="GT1171" s="4"/>
      <c r="GU1171" s="4"/>
      <c r="GV1171" s="4"/>
      <c r="GW1171" s="4"/>
      <c r="GX1171" s="4"/>
      <c r="GY1171" s="4"/>
      <c r="GZ1171" s="4"/>
      <c r="HA1171" s="4"/>
      <c r="HF1171" s="243"/>
      <c r="HG1171" s="209"/>
      <c r="IU1171" s="162">
        <v>488.23</v>
      </c>
      <c r="IV1171" s="198">
        <f>488.23*1.045</f>
        <v>510.2</v>
      </c>
    </row>
    <row r="1172" spans="1:256" ht="30" customHeight="1" x14ac:dyDescent="0.2">
      <c r="A1172" s="289" t="s">
        <v>1382</v>
      </c>
      <c r="B1172" s="325" t="s">
        <v>1383</v>
      </c>
      <c r="C1172" s="325"/>
      <c r="D1172" s="325"/>
      <c r="E1172" s="325"/>
      <c r="F1172" s="325"/>
      <c r="EH1172" s="3"/>
      <c r="GS1172" s="2"/>
      <c r="GT1172" s="4"/>
      <c r="GU1172" s="4"/>
      <c r="GV1172" s="4"/>
      <c r="GW1172" s="4"/>
      <c r="GX1172" s="4"/>
      <c r="GY1172" s="4"/>
      <c r="GZ1172" s="4"/>
      <c r="HA1172" s="4"/>
      <c r="HG1172" s="209"/>
    </row>
    <row r="1173" spans="1:256" ht="15.75" x14ac:dyDescent="0.2">
      <c r="A1173" s="289" t="s">
        <v>1384</v>
      </c>
      <c r="B1173" s="285" t="s">
        <v>1377</v>
      </c>
      <c r="C1173" s="277" t="s">
        <v>1385</v>
      </c>
      <c r="D1173" s="295">
        <f>0.72*1.04*1.05</f>
        <v>0.79</v>
      </c>
      <c r="E1173" s="16">
        <f>D1173*20%</f>
        <v>0.16</v>
      </c>
      <c r="F1173" s="164">
        <f>D1173+E1173</f>
        <v>0.95</v>
      </c>
      <c r="EH1173" s="3"/>
      <c r="GS1173" s="2"/>
      <c r="GT1173" s="4"/>
      <c r="GU1173" s="4"/>
      <c r="GV1173" s="4"/>
      <c r="GW1173" s="4"/>
      <c r="GX1173" s="4"/>
      <c r="GY1173" s="4"/>
      <c r="GZ1173" s="4"/>
      <c r="HA1173" s="4"/>
      <c r="HF1173" s="243"/>
      <c r="HG1173" s="209"/>
      <c r="IU1173" s="162">
        <v>0.66</v>
      </c>
      <c r="IV1173" s="198">
        <f>0.66*1.045</f>
        <v>0.69</v>
      </c>
    </row>
    <row r="1174" spans="1:256" ht="15.75" x14ac:dyDescent="0.2">
      <c r="A1174" s="289" t="s">
        <v>1386</v>
      </c>
      <c r="B1174" s="285" t="s">
        <v>1379</v>
      </c>
      <c r="C1174" s="277" t="s">
        <v>1385</v>
      </c>
      <c r="D1174" s="295">
        <f>1.55*1.04*1.05</f>
        <v>1.69</v>
      </c>
      <c r="E1174" s="16">
        <f>D1174*20%</f>
        <v>0.34</v>
      </c>
      <c r="F1174" s="164">
        <f>D1174+E1174</f>
        <v>2.0299999999999998</v>
      </c>
      <c r="EH1174" s="3"/>
      <c r="GS1174" s="2"/>
      <c r="GT1174" s="4"/>
      <c r="GU1174" s="4"/>
      <c r="GV1174" s="4"/>
      <c r="GW1174" s="4"/>
      <c r="GX1174" s="4"/>
      <c r="GY1174" s="4"/>
      <c r="GZ1174" s="4"/>
      <c r="HA1174" s="4"/>
      <c r="HF1174" s="243"/>
      <c r="HG1174" s="209"/>
      <c r="IU1174" s="162">
        <v>1.43</v>
      </c>
      <c r="IV1174" s="198">
        <f>1.43*1.045</f>
        <v>1.49</v>
      </c>
    </row>
    <row r="1175" spans="1:256" ht="15.75" x14ac:dyDescent="0.2">
      <c r="A1175" s="289" t="s">
        <v>1387</v>
      </c>
      <c r="B1175" s="285" t="s">
        <v>1381</v>
      </c>
      <c r="C1175" s="277" t="s">
        <v>1385</v>
      </c>
      <c r="D1175" s="295">
        <f>2.38*1.04*1.05</f>
        <v>2.6</v>
      </c>
      <c r="E1175" s="16">
        <f>D1175*20%</f>
        <v>0.52</v>
      </c>
      <c r="F1175" s="164">
        <f>D1175+E1175</f>
        <v>3.12</v>
      </c>
      <c r="EH1175" s="3"/>
      <c r="GS1175" s="2"/>
      <c r="GT1175" s="4"/>
      <c r="GU1175" s="4"/>
      <c r="GV1175" s="4"/>
      <c r="GW1175" s="4"/>
      <c r="GX1175" s="4"/>
      <c r="GY1175" s="4"/>
      <c r="GZ1175" s="4"/>
      <c r="HA1175" s="4"/>
      <c r="HF1175" s="243"/>
      <c r="HG1175" s="209"/>
      <c r="IU1175" s="162">
        <v>2.19</v>
      </c>
      <c r="IV1175" s="198">
        <f>2.19*1.045</f>
        <v>2.29</v>
      </c>
    </row>
    <row r="1176" spans="1:256" ht="17.25" customHeight="1" x14ac:dyDescent="0.2">
      <c r="A1176" s="289" t="s">
        <v>1388</v>
      </c>
      <c r="B1176" s="313" t="s">
        <v>1389</v>
      </c>
      <c r="C1176" s="313"/>
      <c r="D1176" s="313"/>
      <c r="E1176" s="313"/>
      <c r="F1176" s="313"/>
      <c r="EH1176" s="3"/>
      <c r="GS1176" s="2"/>
      <c r="GT1176" s="4"/>
      <c r="GU1176" s="4"/>
      <c r="GV1176" s="4"/>
      <c r="GW1176" s="4"/>
      <c r="GX1176" s="4"/>
      <c r="GY1176" s="4"/>
      <c r="GZ1176" s="4"/>
      <c r="HA1176" s="4"/>
      <c r="HG1176" s="209"/>
    </row>
    <row r="1177" spans="1:256" ht="15.75" x14ac:dyDescent="0.2">
      <c r="A1177" s="289" t="s">
        <v>1390</v>
      </c>
      <c r="B1177" s="285" t="s">
        <v>1377</v>
      </c>
      <c r="C1177" s="277" t="s">
        <v>113</v>
      </c>
      <c r="D1177" s="295">
        <f>23.86*1.04*1.05</f>
        <v>26.06</v>
      </c>
      <c r="E1177" s="16">
        <f>D1177*20%</f>
        <v>5.21</v>
      </c>
      <c r="F1177" s="164">
        <f>D1177+E1177</f>
        <v>31.27</v>
      </c>
      <c r="EH1177" s="3"/>
      <c r="GS1177" s="2"/>
      <c r="GT1177" s="4"/>
      <c r="GU1177" s="4"/>
      <c r="GV1177" s="4"/>
      <c r="GW1177" s="4"/>
      <c r="GX1177" s="4"/>
      <c r="GY1177" s="4"/>
      <c r="GZ1177" s="4"/>
      <c r="HA1177" s="4"/>
      <c r="HF1177" s="243"/>
      <c r="HG1177" s="209"/>
      <c r="IU1177" s="162">
        <v>21.95</v>
      </c>
      <c r="IV1177" s="198">
        <f>21.95*1.045</f>
        <v>22.94</v>
      </c>
    </row>
    <row r="1178" spans="1:256" ht="15.75" x14ac:dyDescent="0.2">
      <c r="A1178" s="289" t="s">
        <v>1391</v>
      </c>
      <c r="B1178" s="285" t="s">
        <v>1379</v>
      </c>
      <c r="C1178" s="277" t="s">
        <v>113</v>
      </c>
      <c r="D1178" s="295">
        <f>42.96*1.04*1.05</f>
        <v>46.91</v>
      </c>
      <c r="E1178" s="16">
        <f>D1178*20%</f>
        <v>9.3800000000000008</v>
      </c>
      <c r="F1178" s="164">
        <f>D1178+E1178</f>
        <v>56.29</v>
      </c>
      <c r="EH1178" s="3"/>
      <c r="GS1178" s="2"/>
      <c r="GT1178" s="4"/>
      <c r="GU1178" s="4"/>
      <c r="GV1178" s="4"/>
      <c r="GW1178" s="4"/>
      <c r="GX1178" s="4"/>
      <c r="GY1178" s="4"/>
      <c r="GZ1178" s="4"/>
      <c r="HA1178" s="4"/>
      <c r="HF1178" s="243"/>
      <c r="HG1178" s="209"/>
      <c r="IU1178" s="162">
        <v>39.53</v>
      </c>
      <c r="IV1178" s="198">
        <f>39.53*1.045</f>
        <v>41.31</v>
      </c>
    </row>
    <row r="1179" spans="1:256" ht="23.25" customHeight="1" x14ac:dyDescent="0.2">
      <c r="A1179" s="289" t="s">
        <v>1392</v>
      </c>
      <c r="B1179" s="285" t="s">
        <v>1381</v>
      </c>
      <c r="C1179" s="277" t="s">
        <v>113</v>
      </c>
      <c r="D1179" s="295">
        <f>62.06*1.04*1.05</f>
        <v>67.77</v>
      </c>
      <c r="E1179" s="16">
        <f>D1179*20%</f>
        <v>13.55</v>
      </c>
      <c r="F1179" s="164">
        <f>D1179+E1179</f>
        <v>81.319999999999993</v>
      </c>
      <c r="EH1179" s="3"/>
      <c r="GS1179" s="2"/>
      <c r="GT1179" s="4"/>
      <c r="GU1179" s="4"/>
      <c r="GV1179" s="4"/>
      <c r="GW1179" s="4"/>
      <c r="GX1179" s="4"/>
      <c r="GY1179" s="4"/>
      <c r="GZ1179" s="4"/>
      <c r="HA1179" s="4"/>
      <c r="HF1179" s="243"/>
      <c r="HG1179" s="209"/>
      <c r="IU1179" s="162">
        <v>57.1</v>
      </c>
      <c r="IV1179" s="198">
        <f>57.1*1.045</f>
        <v>59.67</v>
      </c>
    </row>
    <row r="1180" spans="1:256" ht="15.75" customHeight="1" x14ac:dyDescent="0.2">
      <c r="A1180" s="289" t="s">
        <v>1393</v>
      </c>
      <c r="B1180" s="313" t="s">
        <v>1394</v>
      </c>
      <c r="C1180" s="313"/>
      <c r="D1180" s="313"/>
      <c r="E1180" s="313"/>
      <c r="F1180" s="313"/>
      <c r="EH1180" s="3"/>
      <c r="GS1180" s="2"/>
      <c r="GT1180" s="4"/>
      <c r="GU1180" s="4"/>
      <c r="GV1180" s="4"/>
      <c r="GW1180" s="4"/>
      <c r="GX1180" s="4"/>
      <c r="GY1180" s="4"/>
      <c r="GZ1180" s="4"/>
      <c r="HA1180" s="4"/>
      <c r="HG1180" s="209"/>
    </row>
    <row r="1181" spans="1:256" ht="15.75" x14ac:dyDescent="0.2">
      <c r="A1181" s="289" t="s">
        <v>1395</v>
      </c>
      <c r="B1181" s="285" t="s">
        <v>1377</v>
      </c>
      <c r="C1181" s="277" t="s">
        <v>113</v>
      </c>
      <c r="D1181" s="295">
        <f>45.35*1.04*1.05</f>
        <v>49.52</v>
      </c>
      <c r="E1181" s="16">
        <f>D1181*20%</f>
        <v>9.9</v>
      </c>
      <c r="F1181" s="164">
        <f>D1181+E1181</f>
        <v>59.42</v>
      </c>
      <c r="EH1181" s="3"/>
      <c r="GS1181" s="2"/>
      <c r="GT1181" s="4"/>
      <c r="GU1181" s="4"/>
      <c r="GV1181" s="4"/>
      <c r="GW1181" s="4"/>
      <c r="GX1181" s="4"/>
      <c r="GY1181" s="4"/>
      <c r="GZ1181" s="4"/>
      <c r="HA1181" s="4"/>
      <c r="HF1181" s="243"/>
      <c r="HG1181" s="209"/>
      <c r="IU1181" s="162">
        <v>41.73</v>
      </c>
      <c r="IV1181" s="198">
        <f>41.73*1.045</f>
        <v>43.61</v>
      </c>
    </row>
    <row r="1182" spans="1:256" ht="15.75" x14ac:dyDescent="0.2">
      <c r="A1182" s="289" t="s">
        <v>1396</v>
      </c>
      <c r="B1182" s="285" t="s">
        <v>1379</v>
      </c>
      <c r="C1182" s="277" t="s">
        <v>113</v>
      </c>
      <c r="D1182" s="295">
        <f>84.74*1.04*1.05</f>
        <v>92.54</v>
      </c>
      <c r="E1182" s="16">
        <f>D1182*20%</f>
        <v>18.510000000000002</v>
      </c>
      <c r="F1182" s="164">
        <f>D1182+E1182</f>
        <v>111.05</v>
      </c>
      <c r="EH1182" s="3"/>
      <c r="GS1182" s="2"/>
      <c r="GT1182" s="4"/>
      <c r="GU1182" s="4"/>
      <c r="GV1182" s="4"/>
      <c r="GW1182" s="4"/>
      <c r="GX1182" s="4"/>
      <c r="GY1182" s="4"/>
      <c r="GZ1182" s="4"/>
      <c r="HA1182" s="4"/>
      <c r="HF1182" s="243"/>
      <c r="HG1182" s="209"/>
      <c r="IU1182" s="162">
        <v>77.97</v>
      </c>
      <c r="IV1182" s="198">
        <f>77.97*1.045</f>
        <v>81.48</v>
      </c>
    </row>
    <row r="1183" spans="1:256" ht="15.75" x14ac:dyDescent="0.2">
      <c r="A1183" s="289" t="s">
        <v>1397</v>
      </c>
      <c r="B1183" s="285" t="s">
        <v>1381</v>
      </c>
      <c r="C1183" s="277" t="s">
        <v>113</v>
      </c>
      <c r="D1183" s="295">
        <f>125.31*1.04*1.05</f>
        <v>136.84</v>
      </c>
      <c r="E1183" s="16">
        <f>D1183*20%</f>
        <v>27.37</v>
      </c>
      <c r="F1183" s="164">
        <f>D1183+E1183</f>
        <v>164.21</v>
      </c>
      <c r="EH1183" s="3"/>
      <c r="GS1183" s="2"/>
      <c r="GT1183" s="4"/>
      <c r="GU1183" s="4"/>
      <c r="GV1183" s="4"/>
      <c r="GW1183" s="4"/>
      <c r="GX1183" s="4"/>
      <c r="GY1183" s="4"/>
      <c r="GZ1183" s="4"/>
      <c r="HA1183" s="4"/>
      <c r="HF1183" s="243"/>
      <c r="HG1183" s="209"/>
      <c r="IU1183" s="162">
        <v>115.3</v>
      </c>
      <c r="IV1183" s="198">
        <f>115.3*1.045</f>
        <v>120.49</v>
      </c>
    </row>
    <row r="1184" spans="1:256" ht="17.25" customHeight="1" x14ac:dyDescent="0.2">
      <c r="A1184" s="289" t="s">
        <v>1398</v>
      </c>
      <c r="B1184" s="313" t="s">
        <v>1399</v>
      </c>
      <c r="C1184" s="313"/>
      <c r="D1184" s="313"/>
      <c r="E1184" s="313"/>
      <c r="F1184" s="313"/>
      <c r="EH1184" s="3"/>
      <c r="GS1184" s="2"/>
      <c r="GT1184" s="4"/>
      <c r="GU1184" s="4"/>
      <c r="GV1184" s="4"/>
      <c r="GW1184" s="4"/>
      <c r="GX1184" s="4"/>
      <c r="GY1184" s="4"/>
      <c r="GZ1184" s="4"/>
      <c r="HA1184" s="4"/>
      <c r="HG1184" s="209"/>
    </row>
    <row r="1185" spans="1:256" ht="15.75" x14ac:dyDescent="0.2">
      <c r="A1185" s="289" t="s">
        <v>1400</v>
      </c>
      <c r="B1185" s="285" t="s">
        <v>1377</v>
      </c>
      <c r="C1185" s="277" t="s">
        <v>113</v>
      </c>
      <c r="D1185" s="295">
        <f>87.12*1.04*1.05</f>
        <v>95.14</v>
      </c>
      <c r="E1185" s="16">
        <f t="shared" ref="E1185:E1193" si="117">D1185*20%</f>
        <v>19.03</v>
      </c>
      <c r="F1185" s="164">
        <f t="shared" ref="F1185:F1190" si="118">D1185+E1185</f>
        <v>114.17</v>
      </c>
      <c r="EH1185" s="3"/>
      <c r="GS1185" s="2"/>
      <c r="GT1185" s="4"/>
      <c r="GU1185" s="4"/>
      <c r="GV1185" s="4"/>
      <c r="GW1185" s="4"/>
      <c r="GX1185" s="4"/>
      <c r="GY1185" s="4"/>
      <c r="GZ1185" s="4"/>
      <c r="HA1185" s="4"/>
      <c r="HF1185" s="243"/>
      <c r="HG1185" s="209"/>
      <c r="IU1185" s="162">
        <v>80.16</v>
      </c>
      <c r="IV1185" s="198">
        <f>80.16*1.045</f>
        <v>83.77</v>
      </c>
    </row>
    <row r="1186" spans="1:256" ht="15.75" x14ac:dyDescent="0.2">
      <c r="A1186" s="289" t="s">
        <v>1401</v>
      </c>
      <c r="B1186" s="285" t="s">
        <v>1379</v>
      </c>
      <c r="C1186" s="277" t="s">
        <v>113</v>
      </c>
      <c r="D1186" s="295">
        <f>165.89*1.04*1.05</f>
        <v>181.15</v>
      </c>
      <c r="E1186" s="16">
        <f t="shared" si="117"/>
        <v>36.229999999999997</v>
      </c>
      <c r="F1186" s="164">
        <f>D1186+E1186</f>
        <v>217.38</v>
      </c>
      <c r="EH1186" s="3"/>
      <c r="GS1186" s="2"/>
      <c r="GT1186" s="4"/>
      <c r="GU1186" s="4"/>
      <c r="GV1186" s="4"/>
      <c r="GW1186" s="4"/>
      <c r="GX1186" s="4"/>
      <c r="GY1186" s="4"/>
      <c r="GZ1186" s="4"/>
      <c r="HA1186" s="4"/>
      <c r="HF1186" s="243"/>
      <c r="HG1186" s="209"/>
      <c r="IU1186" s="162">
        <v>152.63999999999999</v>
      </c>
      <c r="IV1186" s="198">
        <f>152.64*1.045</f>
        <v>159.51</v>
      </c>
    </row>
    <row r="1187" spans="1:256" ht="15.75" x14ac:dyDescent="0.2">
      <c r="A1187" s="289" t="s">
        <v>1402</v>
      </c>
      <c r="B1187" s="285" t="s">
        <v>1381</v>
      </c>
      <c r="C1187" s="277" t="s">
        <v>113</v>
      </c>
      <c r="D1187" s="295">
        <f>244.66*1.04*1.05</f>
        <v>267.17</v>
      </c>
      <c r="E1187" s="16">
        <f t="shared" si="117"/>
        <v>53.43</v>
      </c>
      <c r="F1187" s="164">
        <f t="shared" si="118"/>
        <v>320.60000000000002</v>
      </c>
      <c r="EH1187" s="3"/>
      <c r="GS1187" s="2"/>
      <c r="GT1187" s="4"/>
      <c r="GU1187" s="4"/>
      <c r="GV1187" s="4"/>
      <c r="GW1187" s="4"/>
      <c r="GX1187" s="4"/>
      <c r="GY1187" s="4"/>
      <c r="GZ1187" s="4"/>
      <c r="HA1187" s="4"/>
      <c r="HF1187" s="243"/>
      <c r="HG1187" s="209"/>
      <c r="IU1187" s="162">
        <v>225.12</v>
      </c>
      <c r="IV1187" s="198">
        <f>225.12*1.045</f>
        <v>235.25</v>
      </c>
    </row>
    <row r="1188" spans="1:256" ht="42" customHeight="1" x14ac:dyDescent="0.2">
      <c r="A1188" s="289" t="s">
        <v>1403</v>
      </c>
      <c r="B1188" s="246" t="s">
        <v>1404</v>
      </c>
      <c r="C1188" s="277" t="s">
        <v>1405</v>
      </c>
      <c r="D1188" s="295">
        <f>31.04*1.04*1.05</f>
        <v>33.9</v>
      </c>
      <c r="E1188" s="16">
        <f t="shared" si="117"/>
        <v>6.78</v>
      </c>
      <c r="F1188" s="164">
        <f t="shared" si="118"/>
        <v>40.68</v>
      </c>
      <c r="EH1188" s="3"/>
      <c r="GS1188" s="2"/>
      <c r="GT1188" s="4"/>
      <c r="GU1188" s="4"/>
      <c r="GV1188" s="4"/>
      <c r="GW1188" s="4"/>
      <c r="GX1188" s="4"/>
      <c r="GY1188" s="4"/>
      <c r="GZ1188" s="4"/>
      <c r="HA1188" s="4"/>
      <c r="HF1188" s="243"/>
      <c r="HG1188" s="209"/>
      <c r="IU1188" s="162">
        <v>28.56</v>
      </c>
      <c r="IV1188" s="198">
        <f>28.56*1.045</f>
        <v>29.85</v>
      </c>
    </row>
    <row r="1189" spans="1:256" ht="42.75" customHeight="1" x14ac:dyDescent="0.2">
      <c r="A1189" s="289" t="s">
        <v>1406</v>
      </c>
      <c r="B1189" s="246" t="s">
        <v>1407</v>
      </c>
      <c r="C1189" s="277" t="s">
        <v>1405</v>
      </c>
      <c r="D1189" s="295">
        <f>47.99*1.04*1.05</f>
        <v>52.41</v>
      </c>
      <c r="E1189" s="16">
        <f t="shared" si="117"/>
        <v>10.48</v>
      </c>
      <c r="F1189" s="164">
        <f t="shared" si="118"/>
        <v>62.89</v>
      </c>
      <c r="EH1189" s="3"/>
      <c r="GS1189" s="2"/>
      <c r="GT1189" s="4"/>
      <c r="GU1189" s="4"/>
      <c r="GV1189" s="4"/>
      <c r="GW1189" s="4"/>
      <c r="GX1189" s="4"/>
      <c r="GY1189" s="4"/>
      <c r="GZ1189" s="4"/>
      <c r="HA1189" s="4"/>
      <c r="HF1189" s="243"/>
      <c r="HG1189" s="209"/>
      <c r="IU1189" s="162">
        <v>44.15</v>
      </c>
      <c r="IV1189" s="198">
        <f>44.15*1.045</f>
        <v>46.14</v>
      </c>
    </row>
    <row r="1190" spans="1:256" ht="33.75" customHeight="1" x14ac:dyDescent="0.2">
      <c r="A1190" s="289" t="s">
        <v>1408</v>
      </c>
      <c r="B1190" s="246" t="s">
        <v>1409</v>
      </c>
      <c r="C1190" s="277" t="s">
        <v>1405</v>
      </c>
      <c r="D1190" s="295">
        <f>149.19*1.04*1.05</f>
        <v>162.91999999999999</v>
      </c>
      <c r="E1190" s="16">
        <f t="shared" si="117"/>
        <v>32.58</v>
      </c>
      <c r="F1190" s="164">
        <f t="shared" si="118"/>
        <v>195.5</v>
      </c>
      <c r="EH1190" s="3"/>
      <c r="GS1190" s="2"/>
      <c r="GT1190" s="4"/>
      <c r="GU1190" s="4"/>
      <c r="GV1190" s="4"/>
      <c r="GW1190" s="4"/>
      <c r="GX1190" s="4"/>
      <c r="GY1190" s="4"/>
      <c r="GZ1190" s="4"/>
      <c r="HA1190" s="4"/>
      <c r="HF1190" s="243"/>
      <c r="HG1190" s="209"/>
      <c r="IU1190" s="162">
        <v>137.27000000000001</v>
      </c>
      <c r="IV1190" s="198">
        <f>137.27*1.045</f>
        <v>143.44999999999999</v>
      </c>
    </row>
    <row r="1191" spans="1:256" ht="47.25" customHeight="1" x14ac:dyDescent="0.2">
      <c r="A1191" s="289" t="s">
        <v>1410</v>
      </c>
      <c r="B1191" s="246" t="s">
        <v>1411</v>
      </c>
      <c r="C1191" s="277" t="s">
        <v>1405</v>
      </c>
      <c r="D1191" s="295">
        <f>43.68*1.04*1.05</f>
        <v>47.7</v>
      </c>
      <c r="E1191" s="16">
        <f t="shared" si="117"/>
        <v>9.5399999999999991</v>
      </c>
      <c r="F1191" s="164">
        <f>D1191+E1191</f>
        <v>57.24</v>
      </c>
      <c r="EH1191" s="3"/>
      <c r="GS1191" s="2"/>
      <c r="GT1191" s="4"/>
      <c r="GU1191" s="4"/>
      <c r="GV1191" s="4"/>
      <c r="GW1191" s="4"/>
      <c r="GX1191" s="4"/>
      <c r="GY1191" s="4"/>
      <c r="GZ1191" s="4"/>
      <c r="HA1191" s="4"/>
      <c r="HF1191" s="243"/>
      <c r="HG1191" s="209"/>
      <c r="IU1191" s="162">
        <v>40.19</v>
      </c>
      <c r="IV1191" s="198">
        <f>40.19*1.045</f>
        <v>42</v>
      </c>
    </row>
    <row r="1192" spans="1:256" ht="50.25" customHeight="1" x14ac:dyDescent="0.2">
      <c r="A1192" s="289" t="s">
        <v>1412</v>
      </c>
      <c r="B1192" s="246" t="s">
        <v>1413</v>
      </c>
      <c r="C1192" s="277" t="s">
        <v>1405</v>
      </c>
      <c r="D1192" s="295">
        <f>43.68*1.04*1.05</f>
        <v>47.7</v>
      </c>
      <c r="E1192" s="16">
        <f t="shared" si="117"/>
        <v>9.5399999999999991</v>
      </c>
      <c r="F1192" s="164">
        <f>D1192+E1192</f>
        <v>57.24</v>
      </c>
      <c r="EH1192" s="3"/>
      <c r="GS1192" s="2"/>
      <c r="GT1192" s="4"/>
      <c r="GU1192" s="4"/>
      <c r="GV1192" s="4"/>
      <c r="GW1192" s="4"/>
      <c r="GX1192" s="4"/>
      <c r="GY1192" s="4"/>
      <c r="GZ1192" s="4"/>
      <c r="HA1192" s="4"/>
      <c r="HF1192" s="243"/>
      <c r="HG1192" s="209"/>
      <c r="IU1192" s="162">
        <v>40.19</v>
      </c>
      <c r="IV1192" s="198">
        <f>40.19*1.045</f>
        <v>42</v>
      </c>
    </row>
    <row r="1193" spans="1:256" ht="15.75" x14ac:dyDescent="0.2">
      <c r="A1193" s="289" t="s">
        <v>1414</v>
      </c>
      <c r="B1193" s="247" t="s">
        <v>1415</v>
      </c>
      <c r="C1193" s="277" t="s">
        <v>1405</v>
      </c>
      <c r="D1193" s="295">
        <f>44.65*1.04*1.05</f>
        <v>48.76</v>
      </c>
      <c r="E1193" s="16">
        <f t="shared" si="117"/>
        <v>9.75</v>
      </c>
      <c r="F1193" s="164">
        <f>D1193+E1193</f>
        <v>58.51</v>
      </c>
      <c r="G1193" s="248"/>
      <c r="EH1193" s="3"/>
      <c r="GS1193" s="2"/>
      <c r="GT1193" s="4"/>
      <c r="GU1193" s="4"/>
      <c r="GV1193" s="4"/>
      <c r="GW1193" s="4"/>
      <c r="GX1193" s="4"/>
      <c r="GY1193" s="4"/>
      <c r="GZ1193" s="4"/>
      <c r="HA1193" s="4"/>
      <c r="HF1193" s="243"/>
      <c r="HG1193" s="209"/>
      <c r="IU1193" s="162">
        <v>41.08</v>
      </c>
      <c r="IV1193" s="198">
        <f>41.08*1.045</f>
        <v>42.93</v>
      </c>
    </row>
    <row r="1194" spans="1:256" ht="15.75" customHeight="1" x14ac:dyDescent="0.2">
      <c r="A1194" s="289" t="s">
        <v>1416</v>
      </c>
      <c r="B1194" s="313" t="s">
        <v>1417</v>
      </c>
      <c r="C1194" s="313"/>
      <c r="D1194" s="313"/>
      <c r="E1194" s="313"/>
      <c r="F1194" s="313"/>
      <c r="EH1194" s="3"/>
      <c r="GS1194" s="2"/>
      <c r="GT1194" s="4"/>
      <c r="GU1194" s="4"/>
      <c r="GV1194" s="4"/>
      <c r="GW1194" s="4"/>
      <c r="GX1194" s="4"/>
      <c r="GY1194" s="4"/>
      <c r="GZ1194" s="4"/>
      <c r="HA1194" s="4"/>
      <c r="HG1194" s="209"/>
    </row>
    <row r="1195" spans="1:256" ht="17.25" customHeight="1" x14ac:dyDescent="0.2">
      <c r="A1195" s="289" t="s">
        <v>1418</v>
      </c>
      <c r="B1195" s="285" t="s">
        <v>1419</v>
      </c>
      <c r="C1195" s="277" t="s">
        <v>113</v>
      </c>
      <c r="D1195" s="295">
        <f>125.31*1.04*1.05</f>
        <v>136.84</v>
      </c>
      <c r="E1195" s="16">
        <f>D1195*20%</f>
        <v>27.37</v>
      </c>
      <c r="F1195" s="164">
        <f>D1195+E1195</f>
        <v>164.21</v>
      </c>
      <c r="EH1195" s="3"/>
      <c r="GS1195" s="2"/>
      <c r="GT1195" s="4"/>
      <c r="GU1195" s="4"/>
      <c r="GV1195" s="4"/>
      <c r="GW1195" s="4"/>
      <c r="GX1195" s="4"/>
      <c r="GY1195" s="4"/>
      <c r="GZ1195" s="4"/>
      <c r="HA1195" s="4"/>
      <c r="HF1195" s="243"/>
      <c r="HG1195" s="209"/>
      <c r="IU1195" s="162">
        <v>115.3</v>
      </c>
      <c r="IV1195" s="198">
        <f>115.3*1.045</f>
        <v>120.49</v>
      </c>
    </row>
    <row r="1196" spans="1:256" ht="47.25" x14ac:dyDescent="0.2">
      <c r="A1196" s="289" t="s">
        <v>1420</v>
      </c>
      <c r="B1196" s="285" t="s">
        <v>1421</v>
      </c>
      <c r="C1196" s="277" t="s">
        <v>1422</v>
      </c>
      <c r="D1196" s="295">
        <f>62.54*1.04*1.05</f>
        <v>68.290000000000006</v>
      </c>
      <c r="E1196" s="16">
        <f>D1196*20%</f>
        <v>13.66</v>
      </c>
      <c r="F1196" s="164">
        <f>D1196+E1196</f>
        <v>81.95</v>
      </c>
      <c r="EH1196" s="3"/>
      <c r="GS1196" s="2"/>
      <c r="GT1196" s="4"/>
      <c r="GU1196" s="4"/>
      <c r="GV1196" s="4"/>
      <c r="GW1196" s="4"/>
      <c r="GX1196" s="4"/>
      <c r="GY1196" s="4"/>
      <c r="GZ1196" s="4"/>
      <c r="HA1196" s="4"/>
      <c r="HF1196" s="243"/>
      <c r="HG1196" s="209"/>
      <c r="IU1196" s="162">
        <v>57.54</v>
      </c>
      <c r="IV1196" s="198">
        <f>57.54*1.045</f>
        <v>60.13</v>
      </c>
    </row>
    <row r="1197" spans="1:256" ht="15.75" customHeight="1" x14ac:dyDescent="0.2">
      <c r="A1197" s="289" t="s">
        <v>1423</v>
      </c>
      <c r="B1197" s="313" t="s">
        <v>1424</v>
      </c>
      <c r="C1197" s="313"/>
      <c r="D1197" s="313"/>
      <c r="E1197" s="313"/>
      <c r="F1197" s="313"/>
      <c r="EH1197" s="3"/>
      <c r="GS1197" s="2"/>
      <c r="GT1197" s="4"/>
      <c r="GU1197" s="4"/>
      <c r="GV1197" s="4"/>
      <c r="GW1197" s="4"/>
      <c r="GX1197" s="4"/>
      <c r="GY1197" s="4"/>
      <c r="GZ1197" s="4"/>
      <c r="HA1197" s="4"/>
      <c r="HG1197" s="209"/>
    </row>
    <row r="1198" spans="1:256" ht="22.5" customHeight="1" x14ac:dyDescent="0.2">
      <c r="A1198" s="289" t="s">
        <v>1425</v>
      </c>
      <c r="B1198" s="285" t="s">
        <v>1419</v>
      </c>
      <c r="C1198" s="277" t="s">
        <v>1426</v>
      </c>
      <c r="D1198" s="295">
        <f>0.38*1.04*1.05</f>
        <v>0.41</v>
      </c>
      <c r="E1198" s="16">
        <f>D1198*20%</f>
        <v>0.08</v>
      </c>
      <c r="F1198" s="164">
        <f>D1198+E1198</f>
        <v>0.49</v>
      </c>
      <c r="EH1198" s="3"/>
      <c r="GS1198" s="2"/>
      <c r="GT1198" s="4"/>
      <c r="GU1198" s="4"/>
      <c r="GV1198" s="4"/>
      <c r="GW1198" s="4"/>
      <c r="GX1198" s="4"/>
      <c r="GY1198" s="4"/>
      <c r="GZ1198" s="4"/>
      <c r="HA1198" s="4"/>
      <c r="HF1198" s="243"/>
      <c r="HG1198" s="209"/>
      <c r="IU1198" s="162">
        <v>0.35</v>
      </c>
      <c r="IV1198" s="198">
        <f>0.35*1.045</f>
        <v>0.37</v>
      </c>
    </row>
    <row r="1199" spans="1:256" ht="15.75" x14ac:dyDescent="0.2">
      <c r="A1199" s="289" t="s">
        <v>1427</v>
      </c>
      <c r="B1199" s="285" t="s">
        <v>1421</v>
      </c>
      <c r="C1199" s="277" t="s">
        <v>1428</v>
      </c>
      <c r="D1199" s="295">
        <f>0.25*1.04*1.05</f>
        <v>0.27</v>
      </c>
      <c r="E1199" s="16">
        <f>D1199*20%</f>
        <v>0.05</v>
      </c>
      <c r="F1199" s="164">
        <f>D1199+E1199</f>
        <v>0.32</v>
      </c>
      <c r="EH1199" s="3"/>
      <c r="GS1199" s="2"/>
      <c r="GT1199" s="4"/>
      <c r="GU1199" s="4"/>
      <c r="GV1199" s="4"/>
      <c r="GW1199" s="4"/>
      <c r="GX1199" s="4"/>
      <c r="GY1199" s="4"/>
      <c r="GZ1199" s="4"/>
      <c r="HA1199" s="4"/>
      <c r="HF1199" s="243"/>
      <c r="HG1199" s="209"/>
      <c r="IU1199" s="162">
        <v>0.23</v>
      </c>
      <c r="IV1199" s="198">
        <f>0.23*1.045</f>
        <v>0.24</v>
      </c>
    </row>
    <row r="1200" spans="1:256" ht="36" customHeight="1" x14ac:dyDescent="0.2">
      <c r="A1200" s="289" t="s">
        <v>1429</v>
      </c>
      <c r="B1200" s="313" t="s">
        <v>1430</v>
      </c>
      <c r="C1200" s="313"/>
      <c r="D1200" s="313"/>
      <c r="E1200" s="313"/>
      <c r="F1200" s="313"/>
      <c r="EH1200" s="3"/>
      <c r="GS1200" s="2"/>
      <c r="GT1200" s="4"/>
      <c r="GU1200" s="4"/>
      <c r="GV1200" s="4"/>
      <c r="GW1200" s="4"/>
      <c r="GX1200" s="4"/>
      <c r="GY1200" s="4"/>
      <c r="GZ1200" s="4"/>
      <c r="HA1200" s="4"/>
      <c r="HG1200" s="209"/>
    </row>
    <row r="1201" spans="1:256" ht="21.75" customHeight="1" x14ac:dyDescent="0.2">
      <c r="A1201" s="289" t="s">
        <v>1431</v>
      </c>
      <c r="B1201" s="285" t="s">
        <v>1419</v>
      </c>
      <c r="C1201" s="277" t="s">
        <v>1432</v>
      </c>
      <c r="D1201" s="295">
        <f>375.94*1.04*1.05</f>
        <v>410.53</v>
      </c>
      <c r="E1201" s="16">
        <f>D1201*20%</f>
        <v>82.11</v>
      </c>
      <c r="F1201" s="164">
        <f>D1201+E1201</f>
        <v>492.64</v>
      </c>
      <c r="EH1201" s="3"/>
      <c r="GS1201" s="2"/>
      <c r="GT1201" s="4"/>
      <c r="GU1201" s="4"/>
      <c r="GV1201" s="4"/>
      <c r="GW1201" s="4"/>
      <c r="GX1201" s="4"/>
      <c r="GY1201" s="4"/>
      <c r="GZ1201" s="4"/>
      <c r="HA1201" s="4"/>
      <c r="HF1201" s="243"/>
      <c r="HG1201" s="209"/>
      <c r="IU1201" s="162">
        <v>345.91</v>
      </c>
      <c r="IV1201" s="198">
        <f>345.91*1.045</f>
        <v>361.48</v>
      </c>
    </row>
    <row r="1202" spans="1:256" ht="23.25" customHeight="1" x14ac:dyDescent="0.2">
      <c r="A1202" s="289" t="s">
        <v>1433</v>
      </c>
      <c r="B1202" s="285" t="s">
        <v>1421</v>
      </c>
      <c r="C1202" s="277" t="s">
        <v>1434</v>
      </c>
      <c r="D1202" s="295">
        <f>310.03*1.04*1.05</f>
        <v>338.55</v>
      </c>
      <c r="E1202" s="16">
        <f>D1202*20%</f>
        <v>67.709999999999994</v>
      </c>
      <c r="F1202" s="164">
        <f>D1202+E1202</f>
        <v>406.26</v>
      </c>
      <c r="EH1202" s="3"/>
      <c r="GS1202" s="2"/>
      <c r="GT1202" s="4"/>
      <c r="GU1202" s="4"/>
      <c r="GV1202" s="4"/>
      <c r="GW1202" s="4"/>
      <c r="GX1202" s="4"/>
      <c r="GY1202" s="4"/>
      <c r="GZ1202" s="4"/>
      <c r="HA1202" s="4"/>
      <c r="HF1202" s="243"/>
      <c r="HG1202" s="209"/>
      <c r="IU1202" s="162">
        <v>285.27</v>
      </c>
      <c r="IV1202" s="198">
        <f>285.27*1.045</f>
        <v>298.11</v>
      </c>
    </row>
    <row r="1203" spans="1:256" ht="51" customHeight="1" x14ac:dyDescent="0.2">
      <c r="A1203" s="289" t="s">
        <v>1435</v>
      </c>
      <c r="B1203" s="286" t="s">
        <v>1436</v>
      </c>
      <c r="C1203" s="277" t="s">
        <v>202</v>
      </c>
      <c r="D1203" s="295">
        <f>1.61*1.04*1.05</f>
        <v>1.76</v>
      </c>
      <c r="E1203" s="16">
        <f>D1203*20%</f>
        <v>0.35</v>
      </c>
      <c r="F1203" s="164">
        <f>D1203+E1203</f>
        <v>2.11</v>
      </c>
      <c r="EH1203" s="3"/>
      <c r="GS1203" s="2"/>
      <c r="GT1203" s="4"/>
      <c r="GU1203" s="4"/>
      <c r="GV1203" s="4"/>
      <c r="GW1203" s="4"/>
      <c r="GX1203" s="4"/>
      <c r="GY1203" s="4"/>
      <c r="GZ1203" s="4"/>
      <c r="HA1203" s="4"/>
      <c r="HF1203" s="243"/>
      <c r="HG1203" s="209"/>
      <c r="IU1203" s="162">
        <v>1.48</v>
      </c>
      <c r="IV1203" s="198">
        <f>1.48*1.045</f>
        <v>1.55</v>
      </c>
    </row>
    <row r="1204" spans="1:256" ht="33.75" customHeight="1" x14ac:dyDescent="0.2">
      <c r="A1204" s="289" t="s">
        <v>1437</v>
      </c>
      <c r="B1204" s="313" t="s">
        <v>1438</v>
      </c>
      <c r="C1204" s="313"/>
      <c r="D1204" s="313"/>
      <c r="E1204" s="313"/>
      <c r="F1204" s="313"/>
      <c r="EH1204" s="3"/>
      <c r="GS1204" s="2"/>
      <c r="GT1204" s="4"/>
      <c r="GU1204" s="4"/>
      <c r="GV1204" s="4"/>
      <c r="GW1204" s="4"/>
      <c r="GX1204" s="4"/>
      <c r="GY1204" s="4"/>
      <c r="GZ1204" s="4"/>
      <c r="HA1204" s="4"/>
      <c r="HG1204" s="209"/>
    </row>
    <row r="1205" spans="1:256" ht="19.5" customHeight="1" x14ac:dyDescent="0.2">
      <c r="A1205" s="289" t="s">
        <v>1439</v>
      </c>
      <c r="B1205" s="285" t="s">
        <v>1419</v>
      </c>
      <c r="C1205" s="277" t="s">
        <v>113</v>
      </c>
      <c r="D1205" s="295">
        <f>92.38*1.04*1.05</f>
        <v>100.88</v>
      </c>
      <c r="E1205" s="16">
        <f>D1205*20%</f>
        <v>20.18</v>
      </c>
      <c r="F1205" s="164">
        <f>D1205+E1205</f>
        <v>121.06</v>
      </c>
      <c r="EH1205" s="3"/>
      <c r="GS1205" s="2"/>
      <c r="GT1205" s="4"/>
      <c r="GU1205" s="4"/>
      <c r="GV1205" s="4"/>
      <c r="GW1205" s="4"/>
      <c r="GX1205" s="4"/>
      <c r="GY1205" s="4"/>
      <c r="GZ1205" s="4"/>
      <c r="HA1205" s="4"/>
      <c r="HF1205" s="243"/>
      <c r="HG1205" s="209"/>
      <c r="IU1205" s="162">
        <v>85</v>
      </c>
      <c r="IV1205" s="198">
        <f>85*1.045</f>
        <v>88.83</v>
      </c>
    </row>
    <row r="1206" spans="1:256" ht="21.75" customHeight="1" x14ac:dyDescent="0.2">
      <c r="A1206" s="289" t="s">
        <v>1440</v>
      </c>
      <c r="B1206" s="285" t="s">
        <v>1421</v>
      </c>
      <c r="C1206" s="277" t="s">
        <v>113</v>
      </c>
      <c r="D1206" s="295">
        <f>182.61*1.05</f>
        <v>191.74</v>
      </c>
      <c r="E1206" s="16">
        <f>D1206*20%</f>
        <v>38.35</v>
      </c>
      <c r="F1206" s="164">
        <f>D1206+E1206</f>
        <v>230.09</v>
      </c>
      <c r="EH1206" s="3"/>
      <c r="GS1206" s="2"/>
      <c r="GT1206" s="4"/>
      <c r="GU1206" s="4"/>
      <c r="GV1206" s="4"/>
      <c r="GW1206" s="4"/>
      <c r="GX1206" s="4"/>
      <c r="GY1206" s="4"/>
      <c r="GZ1206" s="4"/>
      <c r="HA1206" s="4"/>
      <c r="HF1206" s="243"/>
      <c r="HG1206" s="209"/>
      <c r="IU1206" s="162">
        <v>174.75</v>
      </c>
      <c r="IV1206" s="198">
        <f>174.75*1.045</f>
        <v>182.61</v>
      </c>
    </row>
    <row r="1207" spans="1:256" ht="49.5" customHeight="1" x14ac:dyDescent="0.2">
      <c r="A1207" s="289" t="s">
        <v>531</v>
      </c>
      <c r="B1207" s="285" t="s">
        <v>1441</v>
      </c>
      <c r="C1207" s="277" t="s">
        <v>1442</v>
      </c>
      <c r="D1207" s="295">
        <f>955.39*1.04*1.05</f>
        <v>1043.29</v>
      </c>
      <c r="E1207" s="16">
        <f>D1207*20%</f>
        <v>208.66</v>
      </c>
      <c r="F1207" s="164">
        <f>D1207+E1207</f>
        <v>1251.95</v>
      </c>
      <c r="EH1207" s="3"/>
      <c r="GS1207" s="2"/>
      <c r="GT1207" s="4"/>
      <c r="GU1207" s="4"/>
      <c r="GV1207" s="4"/>
      <c r="GW1207" s="4"/>
      <c r="GX1207" s="4"/>
      <c r="GY1207" s="4"/>
      <c r="GZ1207" s="4"/>
      <c r="HA1207" s="4"/>
      <c r="HF1207" s="243"/>
      <c r="HG1207" s="209"/>
      <c r="IU1207" s="162">
        <v>879.08</v>
      </c>
      <c r="IV1207" s="198">
        <f>879.08*1.045</f>
        <v>918.64</v>
      </c>
    </row>
    <row r="1208" spans="1:256" ht="63" customHeight="1" x14ac:dyDescent="0.2">
      <c r="A1208" s="249" t="s">
        <v>23</v>
      </c>
      <c r="B1208" s="326" t="s">
        <v>1869</v>
      </c>
      <c r="C1208" s="326"/>
      <c r="D1208" s="326"/>
      <c r="E1208" s="326"/>
      <c r="F1208" s="326"/>
      <c r="EH1208" s="3"/>
      <c r="GS1208" s="2"/>
      <c r="GT1208" s="4"/>
      <c r="GU1208" s="4"/>
      <c r="GV1208" s="4"/>
      <c r="GW1208" s="4"/>
      <c r="GX1208" s="4"/>
      <c r="GY1208" s="4"/>
      <c r="GZ1208" s="4"/>
      <c r="HA1208" s="4"/>
      <c r="HG1208" s="209"/>
    </row>
    <row r="1209" spans="1:256" ht="68.25" customHeight="1" x14ac:dyDescent="0.2">
      <c r="A1209" s="328" t="s">
        <v>569</v>
      </c>
      <c r="B1209" s="313" t="s">
        <v>1443</v>
      </c>
      <c r="C1209" s="313"/>
      <c r="D1209" s="313"/>
      <c r="E1209" s="313"/>
      <c r="F1209" s="313"/>
      <c r="EH1209" s="3"/>
      <c r="GS1209" s="2"/>
      <c r="GT1209" s="4"/>
      <c r="GU1209" s="4"/>
      <c r="GV1209" s="4"/>
      <c r="GW1209" s="4"/>
      <c r="GX1209" s="4"/>
      <c r="GY1209" s="4"/>
      <c r="GZ1209" s="4"/>
      <c r="HA1209" s="4"/>
      <c r="HG1209" s="209"/>
    </row>
    <row r="1210" spans="1:256" ht="36" customHeight="1" x14ac:dyDescent="0.2">
      <c r="A1210" s="328"/>
      <c r="B1210" s="313" t="s">
        <v>1444</v>
      </c>
      <c r="C1210" s="313"/>
      <c r="D1210" s="313"/>
      <c r="E1210" s="313"/>
      <c r="F1210" s="313"/>
      <c r="EH1210" s="3"/>
      <c r="GS1210" s="2"/>
      <c r="GT1210" s="4"/>
      <c r="GU1210" s="4"/>
      <c r="GV1210" s="4"/>
      <c r="GW1210" s="4"/>
      <c r="GX1210" s="4"/>
      <c r="GY1210" s="4"/>
      <c r="GZ1210" s="4"/>
      <c r="HA1210" s="4"/>
      <c r="HG1210" s="209"/>
    </row>
    <row r="1211" spans="1:256" ht="35.25" customHeight="1" x14ac:dyDescent="0.2">
      <c r="A1211" s="328"/>
      <c r="B1211" s="313" t="s">
        <v>1445</v>
      </c>
      <c r="C1211" s="313"/>
      <c r="D1211" s="313"/>
      <c r="E1211" s="313"/>
      <c r="F1211" s="313"/>
      <c r="EH1211" s="3"/>
      <c r="GS1211" s="2"/>
      <c r="GT1211" s="4"/>
      <c r="GU1211" s="4"/>
      <c r="GV1211" s="4"/>
      <c r="GW1211" s="4"/>
      <c r="GX1211" s="4"/>
      <c r="GY1211" s="4"/>
      <c r="GZ1211" s="4"/>
      <c r="HA1211" s="4"/>
      <c r="HG1211" s="209"/>
    </row>
    <row r="1212" spans="1:256" ht="24.75" customHeight="1" x14ac:dyDescent="0.2">
      <c r="A1212" s="328"/>
      <c r="B1212" s="313" t="s">
        <v>1446</v>
      </c>
      <c r="C1212" s="313"/>
      <c r="D1212" s="313"/>
      <c r="E1212" s="313"/>
      <c r="F1212" s="313"/>
      <c r="EH1212" s="3"/>
      <c r="GS1212" s="2"/>
      <c r="GT1212" s="4"/>
      <c r="GU1212" s="4"/>
      <c r="GV1212" s="4"/>
      <c r="GW1212" s="4"/>
      <c r="GX1212" s="4"/>
      <c r="GY1212" s="4"/>
      <c r="GZ1212" s="4"/>
      <c r="HA1212" s="4"/>
      <c r="HG1212" s="209"/>
    </row>
    <row r="1213" spans="1:256" ht="33" customHeight="1" x14ac:dyDescent="0.2">
      <c r="A1213" s="328"/>
      <c r="B1213" s="313" t="s">
        <v>1447</v>
      </c>
      <c r="C1213" s="313"/>
      <c r="D1213" s="313"/>
      <c r="E1213" s="313"/>
      <c r="F1213" s="313"/>
      <c r="EH1213" s="3"/>
      <c r="GS1213" s="2"/>
      <c r="GT1213" s="4"/>
      <c r="GU1213" s="4"/>
      <c r="GV1213" s="4"/>
      <c r="GW1213" s="4"/>
      <c r="GX1213" s="4"/>
      <c r="GY1213" s="4"/>
      <c r="GZ1213" s="4"/>
      <c r="HA1213" s="4"/>
      <c r="HG1213" s="209"/>
    </row>
    <row r="1214" spans="1:256" ht="39.75" customHeight="1" x14ac:dyDescent="0.2">
      <c r="A1214" s="328"/>
      <c r="B1214" s="313" t="s">
        <v>1448</v>
      </c>
      <c r="C1214" s="313"/>
      <c r="D1214" s="313"/>
      <c r="E1214" s="313"/>
      <c r="F1214" s="313"/>
      <c r="EH1214" s="3"/>
      <c r="GS1214" s="2"/>
      <c r="GT1214" s="4"/>
      <c r="GU1214" s="4"/>
      <c r="GV1214" s="4"/>
      <c r="GW1214" s="4"/>
      <c r="GX1214" s="4"/>
      <c r="GY1214" s="4"/>
      <c r="GZ1214" s="4"/>
      <c r="HA1214" s="4"/>
      <c r="HG1214" s="209"/>
    </row>
    <row r="1215" spans="1:256" ht="23.25" customHeight="1" x14ac:dyDescent="0.2">
      <c r="A1215" s="328"/>
      <c r="B1215" s="313" t="s">
        <v>1449</v>
      </c>
      <c r="C1215" s="313"/>
      <c r="D1215" s="313"/>
      <c r="E1215" s="313"/>
      <c r="F1215" s="313"/>
      <c r="EH1215" s="3"/>
      <c r="GS1215" s="2"/>
      <c r="GT1215" s="4"/>
      <c r="GU1215" s="4"/>
      <c r="GV1215" s="4"/>
      <c r="GW1215" s="4"/>
      <c r="GX1215" s="4"/>
      <c r="GY1215" s="4"/>
      <c r="GZ1215" s="4"/>
      <c r="HA1215" s="4"/>
      <c r="HG1215" s="209"/>
    </row>
    <row r="1216" spans="1:256" ht="38.25" customHeight="1" x14ac:dyDescent="0.2">
      <c r="A1216" s="328"/>
      <c r="B1216" s="313" t="s">
        <v>1450</v>
      </c>
      <c r="C1216" s="313"/>
      <c r="D1216" s="313"/>
      <c r="E1216" s="313"/>
      <c r="F1216" s="313"/>
      <c r="EH1216" s="3"/>
      <c r="GS1216" s="2"/>
      <c r="GT1216" s="4"/>
      <c r="GU1216" s="4"/>
      <c r="GV1216" s="4"/>
      <c r="GW1216" s="4"/>
      <c r="GX1216" s="4"/>
      <c r="GY1216" s="4"/>
      <c r="GZ1216" s="4"/>
      <c r="HA1216" s="4"/>
      <c r="HG1216" s="209"/>
    </row>
    <row r="1217" spans="1:256" ht="23.25" customHeight="1" x14ac:dyDescent="0.2">
      <c r="A1217" s="328"/>
      <c r="B1217" s="313" t="s">
        <v>1451</v>
      </c>
      <c r="C1217" s="313"/>
      <c r="D1217" s="313"/>
      <c r="E1217" s="313"/>
      <c r="F1217" s="313"/>
      <c r="EH1217" s="3"/>
      <c r="GS1217" s="2"/>
      <c r="GT1217" s="4"/>
      <c r="GU1217" s="4"/>
      <c r="GV1217" s="4"/>
      <c r="GW1217" s="4"/>
      <c r="GX1217" s="4"/>
      <c r="GY1217" s="4"/>
      <c r="GZ1217" s="4"/>
      <c r="HA1217" s="4"/>
      <c r="HG1217" s="209"/>
    </row>
    <row r="1218" spans="1:256" ht="33.75" customHeight="1" x14ac:dyDescent="0.2">
      <c r="A1218" s="328"/>
      <c r="B1218" s="313" t="s">
        <v>1452</v>
      </c>
      <c r="C1218" s="313"/>
      <c r="D1218" s="313"/>
      <c r="E1218" s="313"/>
      <c r="F1218" s="313"/>
      <c r="EH1218" s="3"/>
      <c r="GS1218" s="2"/>
      <c r="GT1218" s="4"/>
      <c r="GU1218" s="4"/>
      <c r="GV1218" s="4"/>
      <c r="GW1218" s="4"/>
      <c r="GX1218" s="4"/>
      <c r="GY1218" s="4"/>
      <c r="GZ1218" s="4"/>
      <c r="HA1218" s="4"/>
      <c r="HG1218" s="209"/>
    </row>
    <row r="1219" spans="1:256" ht="23.25" customHeight="1" x14ac:dyDescent="0.2">
      <c r="A1219" s="328"/>
      <c r="B1219" s="313" t="s">
        <v>1453</v>
      </c>
      <c r="C1219" s="313"/>
      <c r="D1219" s="313"/>
      <c r="E1219" s="313"/>
      <c r="F1219" s="313"/>
      <c r="EH1219" s="3"/>
      <c r="GS1219" s="2"/>
      <c r="GT1219" s="4"/>
      <c r="GU1219" s="4"/>
      <c r="GV1219" s="4"/>
      <c r="GW1219" s="4"/>
      <c r="GX1219" s="4"/>
      <c r="GY1219" s="4"/>
      <c r="GZ1219" s="4"/>
      <c r="HA1219" s="4"/>
      <c r="HG1219" s="209"/>
    </row>
    <row r="1220" spans="1:256" ht="15.75" x14ac:dyDescent="0.2">
      <c r="A1220" s="289" t="s">
        <v>1454</v>
      </c>
      <c r="B1220" s="285" t="s">
        <v>1455</v>
      </c>
      <c r="C1220" s="277" t="s">
        <v>113</v>
      </c>
      <c r="D1220" s="295">
        <f>41.05*1.04*1.05</f>
        <v>44.83</v>
      </c>
      <c r="E1220" s="16">
        <f>D1220*20%</f>
        <v>8.9700000000000006</v>
      </c>
      <c r="F1220" s="164">
        <f>D1220+E1220</f>
        <v>53.8</v>
      </c>
      <c r="EH1220" s="3"/>
      <c r="GS1220" s="2"/>
      <c r="GT1220" s="4"/>
      <c r="GU1220" s="4"/>
      <c r="GV1220" s="4"/>
      <c r="GW1220" s="4"/>
      <c r="GX1220" s="4"/>
      <c r="GY1220" s="4"/>
      <c r="GZ1220" s="4"/>
      <c r="HA1220" s="4"/>
      <c r="HF1220" s="243"/>
      <c r="HG1220" s="209"/>
      <c r="IU1220" s="162">
        <v>37.770000000000003</v>
      </c>
      <c r="IV1220" s="198">
        <f>37.77*1.045</f>
        <v>39.47</v>
      </c>
    </row>
    <row r="1221" spans="1:256" ht="15.75" x14ac:dyDescent="0.2">
      <c r="A1221" s="289" t="s">
        <v>1456</v>
      </c>
      <c r="B1221" s="285" t="s">
        <v>1457</v>
      </c>
      <c r="C1221" s="277" t="s">
        <v>1405</v>
      </c>
      <c r="D1221" s="295">
        <f>36.29*1.04*1.05</f>
        <v>39.630000000000003</v>
      </c>
      <c r="E1221" s="16">
        <f>D1221*20%</f>
        <v>7.93</v>
      </c>
      <c r="F1221" s="164">
        <f>D1221+E1221</f>
        <v>47.56</v>
      </c>
      <c r="EH1221" s="3"/>
      <c r="GS1221" s="2"/>
      <c r="GT1221" s="4"/>
      <c r="GU1221" s="4"/>
      <c r="GV1221" s="4"/>
      <c r="GW1221" s="4"/>
      <c r="GX1221" s="4"/>
      <c r="GY1221" s="4"/>
      <c r="GZ1221" s="4"/>
      <c r="HA1221" s="4"/>
      <c r="HF1221" s="243"/>
      <c r="HG1221" s="209"/>
      <c r="IU1221" s="162">
        <v>33.39</v>
      </c>
      <c r="IV1221" s="198">
        <f>33.39*1.045</f>
        <v>34.89</v>
      </c>
    </row>
    <row r="1222" spans="1:256" ht="47.25" x14ac:dyDescent="0.2">
      <c r="A1222" s="289" t="s">
        <v>1458</v>
      </c>
      <c r="B1222" s="285" t="s">
        <v>1459</v>
      </c>
      <c r="C1222" s="277" t="s">
        <v>1460</v>
      </c>
      <c r="D1222" s="295">
        <f>18.14*1.04*1.05</f>
        <v>19.809999999999999</v>
      </c>
      <c r="E1222" s="16">
        <f>D1222*20%</f>
        <v>3.96</v>
      </c>
      <c r="F1222" s="164">
        <f>D1222+E1222</f>
        <v>23.77</v>
      </c>
      <c r="EH1222" s="3"/>
      <c r="GS1222" s="2"/>
      <c r="GT1222" s="4"/>
      <c r="GU1222" s="4"/>
      <c r="GV1222" s="4"/>
      <c r="GW1222" s="4"/>
      <c r="GX1222" s="4"/>
      <c r="GY1222" s="4"/>
      <c r="GZ1222" s="4"/>
      <c r="HA1222" s="4"/>
      <c r="HF1222" s="243"/>
      <c r="HG1222" s="209"/>
      <c r="IU1222" s="162">
        <v>16.690000000000001</v>
      </c>
      <c r="IV1222" s="198">
        <f>16.69*1.045</f>
        <v>17.440000000000001</v>
      </c>
    </row>
    <row r="1223" spans="1:256" ht="23.25" customHeight="1" x14ac:dyDescent="0.2">
      <c r="A1223" s="289" t="s">
        <v>571</v>
      </c>
      <c r="B1223" s="313" t="s">
        <v>1461</v>
      </c>
      <c r="C1223" s="313"/>
      <c r="D1223" s="313"/>
      <c r="E1223" s="313"/>
      <c r="F1223" s="313"/>
      <c r="EH1223" s="3"/>
      <c r="GS1223" s="2"/>
      <c r="GT1223" s="4"/>
      <c r="GU1223" s="4"/>
      <c r="GV1223" s="4"/>
      <c r="GW1223" s="4"/>
      <c r="GX1223" s="4"/>
      <c r="GY1223" s="4"/>
      <c r="GZ1223" s="4"/>
      <c r="HA1223" s="4"/>
      <c r="HG1223" s="209"/>
    </row>
    <row r="1224" spans="1:256" ht="15.75" x14ac:dyDescent="0.2">
      <c r="A1224" s="289" t="s">
        <v>1462</v>
      </c>
      <c r="B1224" s="285" t="s">
        <v>1463</v>
      </c>
      <c r="C1224" s="277" t="s">
        <v>113</v>
      </c>
      <c r="D1224" s="295">
        <f>48.94*1.04*1.05</f>
        <v>53.44</v>
      </c>
      <c r="E1224" s="16">
        <f>D1224*20%</f>
        <v>10.69</v>
      </c>
      <c r="F1224" s="164">
        <f>D1224+E1224</f>
        <v>64.13</v>
      </c>
      <c r="EH1224" s="3"/>
      <c r="GS1224" s="2"/>
      <c r="GT1224" s="4"/>
      <c r="GU1224" s="4"/>
      <c r="GV1224" s="4"/>
      <c r="GW1224" s="4"/>
      <c r="GX1224" s="4"/>
      <c r="GY1224" s="4"/>
      <c r="GZ1224" s="4"/>
      <c r="HA1224" s="4"/>
      <c r="HF1224" s="243"/>
      <c r="HG1224" s="209"/>
      <c r="IU1224" s="162">
        <v>45.03</v>
      </c>
      <c r="IV1224" s="198">
        <f>45.03*1.045</f>
        <v>47.06</v>
      </c>
    </row>
    <row r="1225" spans="1:256" ht="47.25" x14ac:dyDescent="0.2">
      <c r="A1225" s="289" t="s">
        <v>1464</v>
      </c>
      <c r="B1225" s="285" t="s">
        <v>1465</v>
      </c>
      <c r="C1225" s="277" t="s">
        <v>1466</v>
      </c>
      <c r="D1225" s="295">
        <f>0.54*1.04*1.05</f>
        <v>0.59</v>
      </c>
      <c r="E1225" s="16">
        <f>D1225*20%</f>
        <v>0.12</v>
      </c>
      <c r="F1225" s="164">
        <f>D1225+E1225</f>
        <v>0.71</v>
      </c>
      <c r="EH1225" s="3"/>
      <c r="GS1225" s="2"/>
      <c r="GT1225" s="4"/>
      <c r="GU1225" s="4"/>
      <c r="GV1225" s="4"/>
      <c r="GW1225" s="4"/>
      <c r="GX1225" s="4"/>
      <c r="GY1225" s="4"/>
      <c r="GZ1225" s="4"/>
      <c r="HA1225" s="4"/>
      <c r="HF1225" s="243"/>
      <c r="HG1225" s="209"/>
      <c r="IU1225" s="162">
        <v>0.5</v>
      </c>
      <c r="IV1225" s="198">
        <f>0.5*1.045</f>
        <v>0.52</v>
      </c>
    </row>
    <row r="1226" spans="1:256" ht="25.5" customHeight="1" x14ac:dyDescent="0.2">
      <c r="A1226" s="289" t="s">
        <v>573</v>
      </c>
      <c r="B1226" s="313" t="s">
        <v>1467</v>
      </c>
      <c r="C1226" s="313"/>
      <c r="D1226" s="313"/>
      <c r="E1226" s="313"/>
      <c r="F1226" s="313"/>
      <c r="EH1226" s="3"/>
      <c r="GS1226" s="2"/>
      <c r="GT1226" s="4"/>
      <c r="GU1226" s="4"/>
      <c r="GV1226" s="4"/>
      <c r="GW1226" s="4"/>
      <c r="GX1226" s="4"/>
      <c r="GY1226" s="4"/>
      <c r="GZ1226" s="4"/>
      <c r="HA1226" s="4"/>
      <c r="HG1226" s="209"/>
    </row>
    <row r="1227" spans="1:256" ht="15.75" x14ac:dyDescent="0.2">
      <c r="A1227" s="289" t="s">
        <v>1468</v>
      </c>
      <c r="B1227" s="285" t="s">
        <v>1469</v>
      </c>
      <c r="C1227" s="277" t="s">
        <v>113</v>
      </c>
      <c r="D1227" s="295">
        <f>313.89*1.04*1.05</f>
        <v>342.77</v>
      </c>
      <c r="E1227" s="16">
        <f t="shared" ref="E1227:E1236" si="119">D1227*20%</f>
        <v>68.55</v>
      </c>
      <c r="F1227" s="164">
        <f t="shared" ref="F1227:F1236" si="120">D1227+E1227</f>
        <v>411.32</v>
      </c>
      <c r="EH1227" s="3"/>
      <c r="GS1227" s="2"/>
      <c r="GT1227" s="4"/>
      <c r="GU1227" s="4"/>
      <c r="GV1227" s="4"/>
      <c r="GW1227" s="4"/>
      <c r="GX1227" s="4"/>
      <c r="GY1227" s="4"/>
      <c r="GZ1227" s="4"/>
      <c r="HA1227" s="4"/>
      <c r="HF1227" s="243"/>
      <c r="HG1227" s="209"/>
      <c r="IU1227" s="162">
        <v>288.82</v>
      </c>
      <c r="IV1227" s="198">
        <f>288.82*1.045</f>
        <v>301.82</v>
      </c>
    </row>
    <row r="1228" spans="1:256" ht="15.75" x14ac:dyDescent="0.2">
      <c r="A1228" s="289" t="s">
        <v>1470</v>
      </c>
      <c r="B1228" s="285" t="s">
        <v>1471</v>
      </c>
      <c r="C1228" s="277" t="s">
        <v>113</v>
      </c>
      <c r="D1228" s="295">
        <f>329.4*1.04*1.05</f>
        <v>359.7</v>
      </c>
      <c r="E1228" s="16">
        <f t="shared" si="119"/>
        <v>71.94</v>
      </c>
      <c r="F1228" s="164">
        <f t="shared" si="120"/>
        <v>431.64</v>
      </c>
      <c r="EH1228" s="3"/>
      <c r="GS1228" s="2"/>
      <c r="GT1228" s="4"/>
      <c r="GU1228" s="4"/>
      <c r="GV1228" s="4"/>
      <c r="GW1228" s="4"/>
      <c r="GX1228" s="4"/>
      <c r="GY1228" s="4"/>
      <c r="GZ1228" s="4"/>
      <c r="HA1228" s="4"/>
      <c r="HF1228" s="243"/>
      <c r="HG1228" s="209"/>
      <c r="IU1228" s="162">
        <v>303.08999999999997</v>
      </c>
      <c r="IV1228" s="198">
        <f>303.09*1.045</f>
        <v>316.73</v>
      </c>
    </row>
    <row r="1229" spans="1:256" ht="15.75" x14ac:dyDescent="0.2">
      <c r="A1229" s="289" t="s">
        <v>1472</v>
      </c>
      <c r="B1229" s="285" t="s">
        <v>1473</v>
      </c>
      <c r="C1229" s="277" t="s">
        <v>113</v>
      </c>
      <c r="D1229" s="295">
        <f>344.92*1.04*1.05</f>
        <v>376.65</v>
      </c>
      <c r="E1229" s="16">
        <f t="shared" si="119"/>
        <v>75.33</v>
      </c>
      <c r="F1229" s="164">
        <f t="shared" si="120"/>
        <v>451.98</v>
      </c>
      <c r="EH1229" s="3"/>
      <c r="GS1229" s="2"/>
      <c r="GT1229" s="4"/>
      <c r="GU1229" s="4"/>
      <c r="GV1229" s="4"/>
      <c r="GW1229" s="4"/>
      <c r="GX1229" s="4"/>
      <c r="GY1229" s="4"/>
      <c r="GZ1229" s="4"/>
      <c r="HA1229" s="4"/>
      <c r="HF1229" s="243"/>
      <c r="HG1229" s="209"/>
      <c r="IU1229" s="162">
        <v>317.37</v>
      </c>
      <c r="IV1229" s="198">
        <f>317.37*1.045</f>
        <v>331.65</v>
      </c>
    </row>
    <row r="1230" spans="1:256" ht="15.75" x14ac:dyDescent="0.2">
      <c r="A1230" s="289" t="s">
        <v>1474</v>
      </c>
      <c r="B1230" s="285" t="s">
        <v>1475</v>
      </c>
      <c r="C1230" s="277" t="s">
        <v>113</v>
      </c>
      <c r="D1230" s="295">
        <f>359.94*1.04*1.05</f>
        <v>393.05</v>
      </c>
      <c r="E1230" s="16">
        <f t="shared" si="119"/>
        <v>78.61</v>
      </c>
      <c r="F1230" s="164">
        <f t="shared" si="120"/>
        <v>471.66</v>
      </c>
      <c r="EH1230" s="3"/>
      <c r="GS1230" s="2"/>
      <c r="GT1230" s="4"/>
      <c r="GU1230" s="4"/>
      <c r="GV1230" s="4"/>
      <c r="GW1230" s="4"/>
      <c r="GX1230" s="4"/>
      <c r="GY1230" s="4"/>
      <c r="GZ1230" s="4"/>
      <c r="HA1230" s="4"/>
      <c r="HF1230" s="243"/>
      <c r="HG1230" s="209"/>
      <c r="IU1230" s="162">
        <v>331.2</v>
      </c>
      <c r="IV1230" s="198">
        <f>331.2*1.045</f>
        <v>346.1</v>
      </c>
    </row>
    <row r="1231" spans="1:256" ht="78" customHeight="1" x14ac:dyDescent="0.2">
      <c r="A1231" s="288" t="s">
        <v>575</v>
      </c>
      <c r="B1231" s="279" t="s">
        <v>1476</v>
      </c>
      <c r="C1231" s="277" t="s">
        <v>1405</v>
      </c>
      <c r="D1231" s="295">
        <f>16.14*1.04*1.05</f>
        <v>17.62</v>
      </c>
      <c r="E1231" s="16">
        <f t="shared" si="119"/>
        <v>3.52</v>
      </c>
      <c r="F1231" s="164">
        <f t="shared" si="120"/>
        <v>21.14</v>
      </c>
      <c r="EH1231" s="3"/>
      <c r="GS1231" s="2"/>
      <c r="GT1231" s="4"/>
      <c r="GU1231" s="4"/>
      <c r="GV1231" s="4"/>
      <c r="GW1231" s="4"/>
      <c r="GX1231" s="4"/>
      <c r="GY1231" s="4"/>
      <c r="GZ1231" s="4"/>
      <c r="HA1231" s="4"/>
      <c r="HF1231" s="243"/>
      <c r="HG1231" s="209"/>
      <c r="IU1231" s="162">
        <v>14.71</v>
      </c>
      <c r="IV1231" s="198">
        <f>14.71*1.055</f>
        <v>15.52</v>
      </c>
    </row>
    <row r="1232" spans="1:256" ht="31.5" x14ac:dyDescent="0.2">
      <c r="A1232" s="288" t="s">
        <v>577</v>
      </c>
      <c r="B1232" s="202" t="s">
        <v>1477</v>
      </c>
      <c r="C1232" s="277" t="s">
        <v>1405</v>
      </c>
      <c r="D1232" s="295">
        <f>20.07*1.04*1.05</f>
        <v>21.92</v>
      </c>
      <c r="E1232" s="16">
        <f t="shared" si="119"/>
        <v>4.38</v>
      </c>
      <c r="F1232" s="164">
        <f t="shared" si="120"/>
        <v>26.3</v>
      </c>
      <c r="EH1232" s="3"/>
      <c r="GS1232" s="2"/>
      <c r="GT1232" s="4"/>
      <c r="GU1232" s="4"/>
      <c r="GV1232" s="4"/>
      <c r="GW1232" s="4"/>
      <c r="GX1232" s="4"/>
      <c r="GY1232" s="4"/>
      <c r="GZ1232" s="4"/>
      <c r="HA1232" s="4"/>
      <c r="HF1232" s="243"/>
      <c r="HG1232" s="209"/>
      <c r="IU1232" s="162">
        <v>18.47</v>
      </c>
      <c r="IV1232" s="198">
        <f>18.47*1.045</f>
        <v>19.3</v>
      </c>
    </row>
    <row r="1233" spans="1:256" ht="82.5" customHeight="1" x14ac:dyDescent="0.2">
      <c r="A1233" s="288" t="s">
        <v>579</v>
      </c>
      <c r="B1233" s="279" t="s">
        <v>1478</v>
      </c>
      <c r="C1233" s="277" t="s">
        <v>1405</v>
      </c>
      <c r="D1233" s="295">
        <f>7.95*1.04*1.05</f>
        <v>8.68</v>
      </c>
      <c r="E1233" s="16">
        <f t="shared" si="119"/>
        <v>1.74</v>
      </c>
      <c r="F1233" s="164">
        <f t="shared" si="120"/>
        <v>10.42</v>
      </c>
      <c r="EH1233" s="3"/>
      <c r="GS1233" s="2"/>
      <c r="GT1233" s="4"/>
      <c r="GU1233" s="4"/>
      <c r="GV1233" s="4"/>
      <c r="GW1233" s="4"/>
      <c r="GX1233" s="4"/>
      <c r="GY1233" s="4"/>
      <c r="GZ1233" s="4"/>
      <c r="HA1233" s="4"/>
      <c r="HF1233" s="243"/>
      <c r="HG1233" s="209"/>
      <c r="IU1233" s="162">
        <v>7.24</v>
      </c>
      <c r="IV1233" s="198">
        <f>7.24*1.055</f>
        <v>7.64</v>
      </c>
    </row>
    <row r="1234" spans="1:256" ht="47.25" customHeight="1" x14ac:dyDescent="0.2">
      <c r="A1234" s="288" t="s">
        <v>581</v>
      </c>
      <c r="B1234" s="279" t="s">
        <v>1479</v>
      </c>
      <c r="C1234" s="277" t="s">
        <v>1405</v>
      </c>
      <c r="D1234" s="295">
        <f>16.14*1.04*1.05</f>
        <v>17.62</v>
      </c>
      <c r="E1234" s="16">
        <f t="shared" si="119"/>
        <v>3.52</v>
      </c>
      <c r="F1234" s="164">
        <f t="shared" si="120"/>
        <v>21.14</v>
      </c>
      <c r="EH1234" s="3"/>
      <c r="GS1234" s="2"/>
      <c r="GT1234" s="4"/>
      <c r="GU1234" s="4"/>
      <c r="GV1234" s="4"/>
      <c r="GW1234" s="4"/>
      <c r="GX1234" s="4"/>
      <c r="GY1234" s="4"/>
      <c r="GZ1234" s="4"/>
      <c r="HA1234" s="4"/>
      <c r="HF1234" s="243"/>
      <c r="HG1234" s="209"/>
      <c r="IU1234" s="162">
        <v>14.71</v>
      </c>
      <c r="IV1234" s="198">
        <f>14.71*1.055</f>
        <v>15.52</v>
      </c>
    </row>
    <row r="1235" spans="1:256" ht="31.5" customHeight="1" x14ac:dyDescent="0.2">
      <c r="A1235" s="288" t="s">
        <v>1480</v>
      </c>
      <c r="B1235" s="279" t="s">
        <v>1481</v>
      </c>
      <c r="C1235" s="277" t="s">
        <v>1405</v>
      </c>
      <c r="D1235" s="295">
        <f>17.66*1.04*1.05</f>
        <v>19.28</v>
      </c>
      <c r="E1235" s="16">
        <f t="shared" si="119"/>
        <v>3.86</v>
      </c>
      <c r="F1235" s="164">
        <f t="shared" si="120"/>
        <v>23.14</v>
      </c>
      <c r="EH1235" s="3"/>
      <c r="GS1235" s="2"/>
      <c r="GT1235" s="4"/>
      <c r="GU1235" s="4"/>
      <c r="GV1235" s="4"/>
      <c r="GW1235" s="4"/>
      <c r="GX1235" s="4"/>
      <c r="GY1235" s="4"/>
      <c r="GZ1235" s="4"/>
      <c r="HA1235" s="4"/>
      <c r="HF1235" s="243"/>
      <c r="HG1235" s="209"/>
      <c r="IU1235" s="162">
        <v>16.25</v>
      </c>
      <c r="IV1235" s="198">
        <f>16.25*1.045</f>
        <v>16.98</v>
      </c>
    </row>
    <row r="1236" spans="1:256" ht="32.25" customHeight="1" x14ac:dyDescent="0.2">
      <c r="A1236" s="288" t="s">
        <v>1482</v>
      </c>
      <c r="B1236" s="279" t="s">
        <v>1483</v>
      </c>
      <c r="C1236" s="277" t="s">
        <v>1405</v>
      </c>
      <c r="D1236" s="295">
        <f>9.56*1.04*1.05</f>
        <v>10.44</v>
      </c>
      <c r="E1236" s="16">
        <f t="shared" si="119"/>
        <v>2.09</v>
      </c>
      <c r="F1236" s="164">
        <f t="shared" si="120"/>
        <v>12.53</v>
      </c>
      <c r="EH1236" s="3"/>
      <c r="GS1236" s="2"/>
      <c r="GT1236" s="4"/>
      <c r="GU1236" s="4"/>
      <c r="GV1236" s="4"/>
      <c r="GW1236" s="4"/>
      <c r="GX1236" s="4"/>
      <c r="GY1236" s="4"/>
      <c r="GZ1236" s="4"/>
      <c r="HA1236" s="4"/>
      <c r="HF1236" s="243"/>
      <c r="HG1236" s="209"/>
      <c r="IU1236" s="162">
        <v>8.7899999999999991</v>
      </c>
      <c r="IV1236" s="198">
        <f>8.79*1.045</f>
        <v>9.19</v>
      </c>
    </row>
    <row r="1237" spans="1:256" ht="30.75" customHeight="1" x14ac:dyDescent="0.2">
      <c r="A1237" s="288" t="s">
        <v>1484</v>
      </c>
      <c r="B1237" s="313" t="s">
        <v>1485</v>
      </c>
      <c r="C1237" s="313"/>
      <c r="D1237" s="313"/>
      <c r="E1237" s="313"/>
      <c r="F1237" s="313"/>
      <c r="EH1237" s="3"/>
      <c r="GS1237" s="2"/>
      <c r="GT1237" s="4"/>
      <c r="GU1237" s="4"/>
      <c r="GV1237" s="4"/>
      <c r="GW1237" s="4"/>
      <c r="GX1237" s="4"/>
      <c r="GY1237" s="4"/>
      <c r="GZ1237" s="4"/>
      <c r="HA1237" s="4"/>
      <c r="HG1237" s="209"/>
    </row>
    <row r="1238" spans="1:256" ht="15.75" x14ac:dyDescent="0.2">
      <c r="A1238" s="288" t="s">
        <v>1486</v>
      </c>
      <c r="B1238" s="285" t="s">
        <v>1455</v>
      </c>
      <c r="C1238" s="277" t="s">
        <v>1368</v>
      </c>
      <c r="D1238" s="295">
        <f>2.79*1.04*1.05</f>
        <v>3.05</v>
      </c>
      <c r="E1238" s="16">
        <f t="shared" ref="E1238:E1249" si="121">D1238*20%</f>
        <v>0.61</v>
      </c>
      <c r="F1238" s="164">
        <f>D1238+E1238</f>
        <v>3.66</v>
      </c>
      <c r="EH1238" s="3"/>
      <c r="GS1238" s="2"/>
      <c r="GT1238" s="4"/>
      <c r="GU1238" s="4"/>
      <c r="GV1238" s="4"/>
      <c r="GW1238" s="4"/>
      <c r="GX1238" s="4"/>
      <c r="GY1238" s="4"/>
      <c r="GZ1238" s="4"/>
      <c r="HA1238" s="4"/>
      <c r="HF1238" s="243"/>
      <c r="HG1238" s="209"/>
      <c r="IU1238" s="162">
        <v>2.56</v>
      </c>
      <c r="IV1238" s="198">
        <f>2.56*1.045</f>
        <v>2.68</v>
      </c>
    </row>
    <row r="1239" spans="1:256" ht="15.75" x14ac:dyDescent="0.2">
      <c r="A1239" s="288" t="s">
        <v>1487</v>
      </c>
      <c r="B1239" s="285" t="s">
        <v>1488</v>
      </c>
      <c r="C1239" s="277" t="s">
        <v>1405</v>
      </c>
      <c r="D1239" s="295">
        <f>21.25*1.04*1.05</f>
        <v>23.21</v>
      </c>
      <c r="E1239" s="16">
        <f t="shared" si="121"/>
        <v>4.6399999999999997</v>
      </c>
      <c r="F1239" s="164">
        <f>D1239+E1239</f>
        <v>27.85</v>
      </c>
      <c r="EH1239" s="3"/>
      <c r="GS1239" s="2"/>
      <c r="GT1239" s="4"/>
      <c r="GU1239" s="4"/>
      <c r="GV1239" s="4"/>
      <c r="GW1239" s="4"/>
      <c r="GX1239" s="4"/>
      <c r="GY1239" s="4"/>
      <c r="GZ1239" s="4"/>
      <c r="HA1239" s="4"/>
      <c r="HF1239" s="243"/>
      <c r="HG1239" s="209"/>
      <c r="IU1239" s="162">
        <v>19.55</v>
      </c>
      <c r="IV1239" s="198">
        <f>19.55*1.045</f>
        <v>20.43</v>
      </c>
    </row>
    <row r="1240" spans="1:256" ht="15.75" customHeight="1" x14ac:dyDescent="0.2">
      <c r="A1240" s="327" t="s">
        <v>1489</v>
      </c>
      <c r="B1240" s="285" t="s">
        <v>1490</v>
      </c>
      <c r="C1240" s="277" t="s">
        <v>1368</v>
      </c>
      <c r="D1240" s="295">
        <f>0.43*1.04*1.05</f>
        <v>0.47</v>
      </c>
      <c r="E1240" s="16">
        <f t="shared" si="121"/>
        <v>0.09</v>
      </c>
      <c r="F1240" s="164">
        <f t="shared" ref="F1240:F1249" si="122">D1240+E1240</f>
        <v>0.56000000000000005</v>
      </c>
      <c r="EH1240" s="3"/>
      <c r="GS1240" s="2"/>
      <c r="GT1240" s="4"/>
      <c r="GU1240" s="4"/>
      <c r="GV1240" s="4"/>
      <c r="GW1240" s="4"/>
      <c r="GX1240" s="4"/>
      <c r="GY1240" s="4"/>
      <c r="GZ1240" s="4"/>
      <c r="HA1240" s="4"/>
      <c r="HF1240" s="243"/>
      <c r="HG1240" s="209"/>
      <c r="IU1240" s="162">
        <v>0.39</v>
      </c>
      <c r="IV1240" s="198">
        <f>0.39*1.045</f>
        <v>0.41</v>
      </c>
    </row>
    <row r="1241" spans="1:256" ht="77.25" customHeight="1" x14ac:dyDescent="0.2">
      <c r="A1241" s="327"/>
      <c r="B1241" s="285" t="s">
        <v>1491</v>
      </c>
      <c r="C1241" s="277" t="s">
        <v>1405</v>
      </c>
      <c r="D1241" s="295">
        <f>10.75*1.04*1.05</f>
        <v>11.74</v>
      </c>
      <c r="E1241" s="16">
        <f t="shared" si="121"/>
        <v>2.35</v>
      </c>
      <c r="F1241" s="164">
        <f t="shared" si="122"/>
        <v>14.09</v>
      </c>
      <c r="EH1241" s="3"/>
      <c r="GS1241" s="2"/>
      <c r="GT1241" s="4"/>
      <c r="GU1241" s="4"/>
      <c r="GV1241" s="4"/>
      <c r="GW1241" s="4"/>
      <c r="GX1241" s="4"/>
      <c r="GY1241" s="4"/>
      <c r="GZ1241" s="4"/>
      <c r="HA1241" s="4"/>
      <c r="HF1241" s="243"/>
      <c r="HG1241" s="209"/>
      <c r="IU1241" s="162">
        <v>9.89</v>
      </c>
      <c r="IV1241" s="198">
        <f>9.89*1.045</f>
        <v>10.34</v>
      </c>
    </row>
    <row r="1242" spans="1:256" ht="32.25" customHeight="1" x14ac:dyDescent="0.2">
      <c r="A1242" s="288" t="s">
        <v>1492</v>
      </c>
      <c r="B1242" s="279" t="s">
        <v>1493</v>
      </c>
      <c r="C1242" s="277" t="s">
        <v>1405</v>
      </c>
      <c r="D1242" s="295">
        <f>10.75*1.04*1.05</f>
        <v>11.74</v>
      </c>
      <c r="E1242" s="16">
        <f t="shared" si="121"/>
        <v>2.35</v>
      </c>
      <c r="F1242" s="164">
        <f t="shared" si="122"/>
        <v>14.09</v>
      </c>
      <c r="EH1242" s="3"/>
      <c r="GS1242" s="2"/>
      <c r="GT1242" s="4"/>
      <c r="GU1242" s="4"/>
      <c r="GV1242" s="4"/>
      <c r="GW1242" s="4"/>
      <c r="GX1242" s="4"/>
      <c r="GY1242" s="4"/>
      <c r="GZ1242" s="4"/>
      <c r="HA1242" s="4"/>
      <c r="HF1242" s="243"/>
      <c r="HG1242" s="209"/>
      <c r="IU1242" s="162">
        <v>9.89</v>
      </c>
      <c r="IV1242" s="198">
        <f>9.89*1.045</f>
        <v>10.34</v>
      </c>
    </row>
    <row r="1243" spans="1:256" ht="24" customHeight="1" x14ac:dyDescent="0.2">
      <c r="A1243" s="288" t="s">
        <v>1494</v>
      </c>
      <c r="B1243" s="279" t="s">
        <v>1495</v>
      </c>
      <c r="C1243" s="277" t="s">
        <v>1405</v>
      </c>
      <c r="D1243" s="295">
        <f>10.75*1.04*1.05</f>
        <v>11.74</v>
      </c>
      <c r="E1243" s="16">
        <f t="shared" si="121"/>
        <v>2.35</v>
      </c>
      <c r="F1243" s="164">
        <f t="shared" si="122"/>
        <v>14.09</v>
      </c>
      <c r="EH1243" s="3"/>
      <c r="GS1243" s="2"/>
      <c r="GT1243" s="4"/>
      <c r="GU1243" s="4"/>
      <c r="GV1243" s="4"/>
      <c r="GW1243" s="4"/>
      <c r="GX1243" s="4"/>
      <c r="GY1243" s="4"/>
      <c r="GZ1243" s="4"/>
      <c r="HA1243" s="4"/>
      <c r="HF1243" s="243"/>
      <c r="HG1243" s="209"/>
      <c r="IU1243" s="162">
        <v>9.89</v>
      </c>
      <c r="IV1243" s="198">
        <f>9.89*1.045</f>
        <v>10.34</v>
      </c>
    </row>
    <row r="1244" spans="1:256" ht="34.5" customHeight="1" x14ac:dyDescent="0.2">
      <c r="A1244" s="288" t="s">
        <v>1496</v>
      </c>
      <c r="B1244" s="279" t="s">
        <v>1497</v>
      </c>
      <c r="C1244" s="277" t="s">
        <v>1405</v>
      </c>
      <c r="D1244" s="295">
        <f>10.75*1.04*1.05</f>
        <v>11.74</v>
      </c>
      <c r="E1244" s="16">
        <f t="shared" si="121"/>
        <v>2.35</v>
      </c>
      <c r="F1244" s="164">
        <f t="shared" si="122"/>
        <v>14.09</v>
      </c>
      <c r="EH1244" s="3"/>
      <c r="GS1244" s="2"/>
      <c r="GT1244" s="4"/>
      <c r="GU1244" s="4"/>
      <c r="GV1244" s="4"/>
      <c r="GW1244" s="4"/>
      <c r="GX1244" s="4"/>
      <c r="GY1244" s="4"/>
      <c r="GZ1244" s="4"/>
      <c r="HA1244" s="4"/>
      <c r="HF1244" s="243"/>
      <c r="HG1244" s="209"/>
      <c r="IU1244" s="162">
        <v>9.89</v>
      </c>
      <c r="IV1244" s="198">
        <f>9.89*1.045</f>
        <v>10.34</v>
      </c>
    </row>
    <row r="1245" spans="1:256" ht="29.25" customHeight="1" x14ac:dyDescent="0.2">
      <c r="A1245" s="288" t="s">
        <v>1498</v>
      </c>
      <c r="B1245" s="279" t="s">
        <v>1499</v>
      </c>
      <c r="C1245" s="277" t="s">
        <v>1405</v>
      </c>
      <c r="D1245" s="295">
        <f>16*1.04*1.05</f>
        <v>17.47</v>
      </c>
      <c r="E1245" s="16">
        <f t="shared" si="121"/>
        <v>3.49</v>
      </c>
      <c r="F1245" s="164">
        <f t="shared" si="122"/>
        <v>20.96</v>
      </c>
      <c r="EH1245" s="3"/>
      <c r="GS1245" s="2"/>
      <c r="GT1245" s="4"/>
      <c r="GU1245" s="4"/>
      <c r="GV1245" s="4"/>
      <c r="GW1245" s="4"/>
      <c r="GX1245" s="4"/>
      <c r="GY1245" s="4"/>
      <c r="GZ1245" s="4"/>
      <c r="HA1245" s="4"/>
      <c r="HF1245" s="243"/>
      <c r="HG1245" s="209"/>
      <c r="IU1245" s="162">
        <v>14.72</v>
      </c>
      <c r="IV1245" s="198">
        <f>14.72*1.045</f>
        <v>15.38</v>
      </c>
    </row>
    <row r="1246" spans="1:256" ht="27.75" x14ac:dyDescent="0.2">
      <c r="A1246" s="288" t="s">
        <v>1500</v>
      </c>
      <c r="B1246" s="279" t="s">
        <v>1501</v>
      </c>
      <c r="C1246" s="277" t="s">
        <v>1405</v>
      </c>
      <c r="D1246" s="295">
        <f>16*1.04*1.05</f>
        <v>17.47</v>
      </c>
      <c r="E1246" s="16">
        <f t="shared" si="121"/>
        <v>3.49</v>
      </c>
      <c r="F1246" s="164">
        <f t="shared" si="122"/>
        <v>20.96</v>
      </c>
      <c r="EH1246" s="3"/>
      <c r="GS1246" s="2"/>
      <c r="GT1246" s="4"/>
      <c r="GU1246" s="4"/>
      <c r="GV1246" s="4"/>
      <c r="GW1246" s="4"/>
      <c r="GX1246" s="4"/>
      <c r="GY1246" s="4"/>
      <c r="GZ1246" s="4"/>
      <c r="HA1246" s="4"/>
      <c r="HF1246" s="243"/>
      <c r="HG1246" s="209"/>
      <c r="IU1246" s="162">
        <v>14.72</v>
      </c>
      <c r="IV1246" s="198">
        <f>14.72*1.045</f>
        <v>15.38</v>
      </c>
    </row>
    <row r="1247" spans="1:256" ht="50.25" customHeight="1" x14ac:dyDescent="0.2">
      <c r="A1247" s="288" t="s">
        <v>1502</v>
      </c>
      <c r="B1247" s="279" t="s">
        <v>1503</v>
      </c>
      <c r="C1247" s="277" t="s">
        <v>1405</v>
      </c>
      <c r="D1247" s="295">
        <f>16*1.04*1.05</f>
        <v>17.47</v>
      </c>
      <c r="E1247" s="16">
        <f t="shared" si="121"/>
        <v>3.49</v>
      </c>
      <c r="F1247" s="164">
        <f t="shared" si="122"/>
        <v>20.96</v>
      </c>
      <c r="EH1247" s="3"/>
      <c r="GS1247" s="2"/>
      <c r="GT1247" s="4"/>
      <c r="GU1247" s="4"/>
      <c r="GV1247" s="4"/>
      <c r="GW1247" s="4"/>
      <c r="GX1247" s="4"/>
      <c r="GY1247" s="4"/>
      <c r="GZ1247" s="4"/>
      <c r="HA1247" s="4"/>
      <c r="HF1247" s="243"/>
      <c r="HG1247" s="209"/>
      <c r="IU1247" s="162">
        <v>14.72</v>
      </c>
      <c r="IV1247" s="198">
        <f>14.72*1.045</f>
        <v>15.38</v>
      </c>
    </row>
    <row r="1248" spans="1:256" ht="33.75" customHeight="1" x14ac:dyDescent="0.2">
      <c r="A1248" s="288" t="s">
        <v>1504</v>
      </c>
      <c r="B1248" s="279" t="s">
        <v>1505</v>
      </c>
      <c r="C1248" s="277" t="s">
        <v>1405</v>
      </c>
      <c r="D1248" s="295">
        <f>16*1.04*1.05</f>
        <v>17.47</v>
      </c>
      <c r="E1248" s="16">
        <f t="shared" si="121"/>
        <v>3.49</v>
      </c>
      <c r="F1248" s="164">
        <f t="shared" si="122"/>
        <v>20.96</v>
      </c>
      <c r="EH1248" s="3"/>
      <c r="GS1248" s="2"/>
      <c r="GT1248" s="4"/>
      <c r="GU1248" s="4"/>
      <c r="GV1248" s="4"/>
      <c r="GW1248" s="4"/>
      <c r="GX1248" s="4"/>
      <c r="GY1248" s="4"/>
      <c r="GZ1248" s="4"/>
      <c r="HA1248" s="4"/>
      <c r="HF1248" s="243"/>
      <c r="HG1248" s="209"/>
      <c r="IU1248" s="162">
        <v>14.72</v>
      </c>
      <c r="IV1248" s="198">
        <f>14.72*1.045</f>
        <v>15.38</v>
      </c>
    </row>
    <row r="1249" spans="1:256" ht="33" customHeight="1" x14ac:dyDescent="0.2">
      <c r="A1249" s="288" t="s">
        <v>1506</v>
      </c>
      <c r="B1249" s="279" t="s">
        <v>1507</v>
      </c>
      <c r="C1249" s="277" t="s">
        <v>1405</v>
      </c>
      <c r="D1249" s="295">
        <f>16*1.04*1.05</f>
        <v>17.47</v>
      </c>
      <c r="E1249" s="16">
        <f t="shared" si="121"/>
        <v>3.49</v>
      </c>
      <c r="F1249" s="164">
        <f t="shared" si="122"/>
        <v>20.96</v>
      </c>
      <c r="EH1249" s="3"/>
      <c r="GS1249" s="2"/>
      <c r="GT1249" s="4"/>
      <c r="GU1249" s="4"/>
      <c r="GV1249" s="4"/>
      <c r="GW1249" s="4"/>
      <c r="GX1249" s="4"/>
      <c r="GY1249" s="4"/>
      <c r="GZ1249" s="4"/>
      <c r="HA1249" s="4"/>
      <c r="HF1249" s="243"/>
      <c r="HG1249" s="209"/>
      <c r="IU1249" s="162">
        <v>14.72</v>
      </c>
      <c r="IV1249" s="198">
        <f>14.72*1.045</f>
        <v>15.38</v>
      </c>
    </row>
    <row r="1250" spans="1:256" ht="18.75" customHeight="1" x14ac:dyDescent="0.2">
      <c r="A1250" s="288" t="s">
        <v>1508</v>
      </c>
      <c r="B1250" s="313" t="s">
        <v>1509</v>
      </c>
      <c r="C1250" s="313"/>
      <c r="D1250" s="313"/>
      <c r="E1250" s="313"/>
      <c r="F1250" s="313"/>
      <c r="EH1250" s="3"/>
      <c r="GS1250" s="2"/>
      <c r="GT1250" s="4"/>
      <c r="GU1250" s="4"/>
      <c r="GV1250" s="4"/>
      <c r="GW1250" s="4"/>
      <c r="GX1250" s="4"/>
      <c r="GY1250" s="4"/>
      <c r="GZ1250" s="4"/>
      <c r="HA1250" s="4"/>
      <c r="HG1250" s="209"/>
    </row>
    <row r="1251" spans="1:256" ht="15.75" x14ac:dyDescent="0.2">
      <c r="A1251" s="288" t="s">
        <v>1510</v>
      </c>
      <c r="B1251" s="285" t="s">
        <v>1455</v>
      </c>
      <c r="C1251" s="277" t="s">
        <v>113</v>
      </c>
      <c r="D1251" s="295">
        <f>1.6*1.04*1.05</f>
        <v>1.75</v>
      </c>
      <c r="E1251" s="16">
        <f>D1251*20%</f>
        <v>0.35</v>
      </c>
      <c r="F1251" s="164">
        <f>D1251+E1251</f>
        <v>2.1</v>
      </c>
      <c r="EH1251" s="3"/>
      <c r="GS1251" s="2"/>
      <c r="GT1251" s="4"/>
      <c r="GU1251" s="4"/>
      <c r="GV1251" s="4"/>
      <c r="GW1251" s="4"/>
      <c r="GX1251" s="4"/>
      <c r="GY1251" s="4"/>
      <c r="GZ1251" s="4"/>
      <c r="HA1251" s="4"/>
      <c r="HF1251" s="243"/>
      <c r="HG1251" s="209"/>
      <c r="IU1251" s="162">
        <v>1.47</v>
      </c>
      <c r="IV1251" s="198">
        <f>1.47*1.045</f>
        <v>1.54</v>
      </c>
    </row>
    <row r="1252" spans="1:256" ht="15.75" x14ac:dyDescent="0.2">
      <c r="A1252" s="288" t="s">
        <v>1511</v>
      </c>
      <c r="B1252" s="285" t="s">
        <v>1488</v>
      </c>
      <c r="C1252" s="277" t="s">
        <v>1405</v>
      </c>
      <c r="D1252" s="295">
        <f>16*1.04*1.05</f>
        <v>17.47</v>
      </c>
      <c r="E1252" s="16">
        <f>D1252*20%</f>
        <v>3.49</v>
      </c>
      <c r="F1252" s="164">
        <f>D1252+E1252</f>
        <v>20.96</v>
      </c>
      <c r="EH1252" s="3"/>
      <c r="GS1252" s="2"/>
      <c r="GT1252" s="4"/>
      <c r="GU1252" s="4"/>
      <c r="GV1252" s="4"/>
      <c r="GW1252" s="4"/>
      <c r="GX1252" s="4"/>
      <c r="GY1252" s="4"/>
      <c r="GZ1252" s="4"/>
      <c r="HA1252" s="4"/>
      <c r="HF1252" s="243"/>
      <c r="HG1252" s="209"/>
      <c r="IU1252" s="162">
        <v>14.72</v>
      </c>
      <c r="IV1252" s="198">
        <f>14.72*1.045</f>
        <v>15.38</v>
      </c>
    </row>
    <row r="1253" spans="1:256" ht="52.5" customHeight="1" x14ac:dyDescent="0.2">
      <c r="A1253" s="178" t="s">
        <v>26</v>
      </c>
      <c r="B1253" s="326" t="s">
        <v>1872</v>
      </c>
      <c r="C1253" s="326"/>
      <c r="D1253" s="326"/>
      <c r="E1253" s="326"/>
      <c r="F1253" s="326"/>
      <c r="EH1253" s="3"/>
      <c r="GS1253" s="2"/>
      <c r="GT1253" s="4"/>
      <c r="GU1253" s="4"/>
      <c r="GV1253" s="4"/>
      <c r="GW1253" s="4"/>
      <c r="GX1253" s="4"/>
      <c r="GY1253" s="4"/>
      <c r="GZ1253" s="4"/>
      <c r="HA1253" s="4"/>
      <c r="HG1253" s="209"/>
    </row>
    <row r="1254" spans="1:256" ht="33" customHeight="1" x14ac:dyDescent="0.2">
      <c r="A1254" s="288" t="s">
        <v>584</v>
      </c>
      <c r="B1254" s="279" t="s">
        <v>1512</v>
      </c>
      <c r="C1254" s="277" t="s">
        <v>1405</v>
      </c>
      <c r="D1254" s="295">
        <f>39.62*1.04*1.05</f>
        <v>43.27</v>
      </c>
      <c r="E1254" s="16">
        <f t="shared" ref="E1254:E1265" si="123">D1254*20%</f>
        <v>8.65</v>
      </c>
      <c r="F1254" s="164">
        <f t="shared" ref="F1254:F1265" si="124">D1254+E1254</f>
        <v>51.92</v>
      </c>
      <c r="EH1254" s="3"/>
      <c r="GS1254" s="2"/>
      <c r="GT1254" s="4"/>
      <c r="GU1254" s="4"/>
      <c r="GV1254" s="4"/>
      <c r="GW1254" s="4"/>
      <c r="GX1254" s="4"/>
      <c r="GY1254" s="4"/>
      <c r="GZ1254" s="4"/>
      <c r="HA1254" s="4"/>
      <c r="HF1254" s="243"/>
      <c r="HG1254" s="209"/>
      <c r="IU1254" s="162">
        <v>36.46</v>
      </c>
      <c r="IV1254" s="198">
        <f>36.46*1.045</f>
        <v>38.1</v>
      </c>
    </row>
    <row r="1255" spans="1:256" ht="21.75" customHeight="1" x14ac:dyDescent="0.2">
      <c r="A1255" s="288" t="s">
        <v>586</v>
      </c>
      <c r="B1255" s="279" t="s">
        <v>1513</v>
      </c>
      <c r="C1255" s="277" t="s">
        <v>1405</v>
      </c>
      <c r="D1255" s="295">
        <f>7.87*1.04*1.05</f>
        <v>8.59</v>
      </c>
      <c r="E1255" s="16">
        <f t="shared" si="123"/>
        <v>1.72</v>
      </c>
      <c r="F1255" s="164">
        <f t="shared" si="124"/>
        <v>10.31</v>
      </c>
      <c r="EH1255" s="3"/>
      <c r="GS1255" s="2"/>
      <c r="GT1255" s="4"/>
      <c r="GU1255" s="4"/>
      <c r="GV1255" s="4"/>
      <c r="GW1255" s="4"/>
      <c r="GX1255" s="4"/>
      <c r="GY1255" s="4"/>
      <c r="GZ1255" s="4"/>
      <c r="HA1255" s="4"/>
      <c r="HF1255" s="243"/>
      <c r="HG1255" s="209"/>
      <c r="IU1255" s="162">
        <v>7.24</v>
      </c>
      <c r="IV1255" s="198">
        <f>7.24*1.045</f>
        <v>7.57</v>
      </c>
    </row>
    <row r="1256" spans="1:256" ht="34.5" customHeight="1" x14ac:dyDescent="0.2">
      <c r="A1256" s="288" t="s">
        <v>588</v>
      </c>
      <c r="B1256" s="250" t="s">
        <v>1514</v>
      </c>
      <c r="C1256" s="277" t="s">
        <v>1405</v>
      </c>
      <c r="D1256" s="295">
        <f>21.25*1.04*1.05</f>
        <v>23.21</v>
      </c>
      <c r="E1256" s="16">
        <f t="shared" si="123"/>
        <v>4.6399999999999997</v>
      </c>
      <c r="F1256" s="164">
        <f t="shared" si="124"/>
        <v>27.85</v>
      </c>
      <c r="EH1256" s="3"/>
      <c r="GS1256" s="2"/>
      <c r="GT1256" s="4"/>
      <c r="GU1256" s="4"/>
      <c r="GV1256" s="4"/>
      <c r="GW1256" s="4"/>
      <c r="GX1256" s="4"/>
      <c r="GY1256" s="4"/>
      <c r="GZ1256" s="4"/>
      <c r="HA1256" s="4"/>
      <c r="HF1256" s="243"/>
      <c r="HG1256" s="209"/>
      <c r="IU1256" s="162">
        <v>19.55</v>
      </c>
      <c r="IV1256" s="198">
        <f>19.55*1.045</f>
        <v>20.43</v>
      </c>
    </row>
    <row r="1257" spans="1:256" ht="15.75" x14ac:dyDescent="0.2">
      <c r="A1257" s="288" t="s">
        <v>590</v>
      </c>
      <c r="B1257" s="250" t="s">
        <v>1515</v>
      </c>
      <c r="C1257" s="277" t="s">
        <v>1405</v>
      </c>
      <c r="D1257" s="295">
        <f>18.38*1.04*1.05</f>
        <v>20.07</v>
      </c>
      <c r="E1257" s="16">
        <f t="shared" si="123"/>
        <v>4.01</v>
      </c>
      <c r="F1257" s="164">
        <f t="shared" si="124"/>
        <v>24.08</v>
      </c>
      <c r="EH1257" s="3"/>
      <c r="GS1257" s="2"/>
      <c r="GT1257" s="4"/>
      <c r="GU1257" s="4"/>
      <c r="GV1257" s="4"/>
      <c r="GW1257" s="4"/>
      <c r="GX1257" s="4"/>
      <c r="GY1257" s="4"/>
      <c r="GZ1257" s="4"/>
      <c r="HA1257" s="4"/>
      <c r="HF1257" s="243"/>
      <c r="HG1257" s="209"/>
      <c r="IU1257" s="162">
        <v>16.91</v>
      </c>
      <c r="IV1257" s="198">
        <f>16.91*1.045</f>
        <v>17.670000000000002</v>
      </c>
    </row>
    <row r="1258" spans="1:256" ht="15.75" x14ac:dyDescent="0.2">
      <c r="A1258" s="288" t="s">
        <v>592</v>
      </c>
      <c r="B1258" s="250" t="s">
        <v>1516</v>
      </c>
      <c r="C1258" s="277" t="s">
        <v>1405</v>
      </c>
      <c r="D1258" s="295">
        <f>24.1*1.04*1.05</f>
        <v>26.32</v>
      </c>
      <c r="E1258" s="16">
        <f t="shared" si="123"/>
        <v>5.26</v>
      </c>
      <c r="F1258" s="164">
        <f t="shared" si="124"/>
        <v>31.58</v>
      </c>
      <c r="EH1258" s="3"/>
      <c r="GS1258" s="2"/>
      <c r="GT1258" s="4"/>
      <c r="GU1258" s="4"/>
      <c r="GV1258" s="4"/>
      <c r="GW1258" s="4"/>
      <c r="GX1258" s="4"/>
      <c r="GY1258" s="4"/>
      <c r="GZ1258" s="4"/>
      <c r="HA1258" s="4"/>
      <c r="HF1258" s="243"/>
      <c r="HG1258" s="209"/>
      <c r="IU1258" s="162">
        <v>22.17</v>
      </c>
      <c r="IV1258" s="198">
        <f>22.17*1.045</f>
        <v>23.17</v>
      </c>
    </row>
    <row r="1259" spans="1:256" ht="15.75" x14ac:dyDescent="0.2">
      <c r="A1259" s="288" t="s">
        <v>594</v>
      </c>
      <c r="B1259" s="250" t="s">
        <v>1517</v>
      </c>
      <c r="C1259" s="277" t="s">
        <v>1405</v>
      </c>
      <c r="D1259" s="295">
        <f>39.62*1.04*1.05</f>
        <v>43.27</v>
      </c>
      <c r="E1259" s="16">
        <f t="shared" si="123"/>
        <v>8.65</v>
      </c>
      <c r="F1259" s="164">
        <f t="shared" si="124"/>
        <v>51.92</v>
      </c>
      <c r="EH1259" s="3"/>
      <c r="GS1259" s="2"/>
      <c r="GT1259" s="4"/>
      <c r="GU1259" s="4"/>
      <c r="GV1259" s="4"/>
      <c r="GW1259" s="4"/>
      <c r="GX1259" s="4"/>
      <c r="GY1259" s="4"/>
      <c r="GZ1259" s="4"/>
      <c r="HA1259" s="4"/>
      <c r="HF1259" s="243"/>
      <c r="HG1259" s="209"/>
      <c r="IU1259" s="162">
        <v>36.46</v>
      </c>
      <c r="IV1259" s="198">
        <f>36.46*1.045</f>
        <v>38.1</v>
      </c>
    </row>
    <row r="1260" spans="1:256" ht="15.75" x14ac:dyDescent="0.2">
      <c r="A1260" s="288" t="s">
        <v>596</v>
      </c>
      <c r="B1260" s="250" t="s">
        <v>1518</v>
      </c>
      <c r="C1260" s="277" t="s">
        <v>1405</v>
      </c>
      <c r="D1260" s="295">
        <f>90.95*1.04*1.05</f>
        <v>99.32</v>
      </c>
      <c r="E1260" s="16">
        <f t="shared" si="123"/>
        <v>19.86</v>
      </c>
      <c r="F1260" s="164">
        <f t="shared" si="124"/>
        <v>119.18</v>
      </c>
      <c r="EH1260" s="3"/>
      <c r="GS1260" s="2"/>
      <c r="GT1260" s="4"/>
      <c r="GU1260" s="4"/>
      <c r="GV1260" s="4"/>
      <c r="GW1260" s="4"/>
      <c r="GX1260" s="4"/>
      <c r="GY1260" s="4"/>
      <c r="GZ1260" s="4"/>
      <c r="HA1260" s="4"/>
      <c r="HF1260" s="243"/>
      <c r="HG1260" s="209"/>
      <c r="IU1260" s="162">
        <v>83.68</v>
      </c>
      <c r="IV1260" s="198">
        <f>83.68*1.045</f>
        <v>87.45</v>
      </c>
    </row>
    <row r="1261" spans="1:256" ht="15.75" x14ac:dyDescent="0.2">
      <c r="A1261" s="288" t="s">
        <v>598</v>
      </c>
      <c r="B1261" s="250" t="s">
        <v>1519</v>
      </c>
      <c r="C1261" s="277" t="s">
        <v>1405</v>
      </c>
      <c r="D1261" s="295">
        <f>121.25*1.04*1.05</f>
        <v>132.41</v>
      </c>
      <c r="E1261" s="16">
        <f t="shared" si="123"/>
        <v>26.48</v>
      </c>
      <c r="F1261" s="164">
        <f>D1261+E1261</f>
        <v>158.88999999999999</v>
      </c>
      <c r="EH1261" s="3"/>
      <c r="GS1261" s="2"/>
      <c r="GT1261" s="4"/>
      <c r="GU1261" s="4"/>
      <c r="GV1261" s="4"/>
      <c r="GW1261" s="4"/>
      <c r="GX1261" s="4"/>
      <c r="GY1261" s="4"/>
      <c r="GZ1261" s="4"/>
      <c r="HA1261" s="4"/>
      <c r="HF1261" s="243"/>
      <c r="HG1261" s="209"/>
      <c r="IU1261" s="162">
        <v>111.57</v>
      </c>
      <c r="IV1261" s="198">
        <f>111.57*1.045</f>
        <v>116.59</v>
      </c>
    </row>
    <row r="1262" spans="1:256" ht="15.75" x14ac:dyDescent="0.2">
      <c r="A1262" s="288" t="s">
        <v>600</v>
      </c>
      <c r="B1262" s="250" t="s">
        <v>1520</v>
      </c>
      <c r="C1262" s="277" t="s">
        <v>1405</v>
      </c>
      <c r="D1262" s="295">
        <f>10.75*1.04*1.05</f>
        <v>11.74</v>
      </c>
      <c r="E1262" s="16">
        <f t="shared" si="123"/>
        <v>2.35</v>
      </c>
      <c r="F1262" s="164">
        <f t="shared" si="124"/>
        <v>14.09</v>
      </c>
      <c r="EH1262" s="3"/>
      <c r="GS1262" s="2"/>
      <c r="GT1262" s="4"/>
      <c r="GU1262" s="4"/>
      <c r="GV1262" s="4"/>
      <c r="GW1262" s="4"/>
      <c r="GX1262" s="4"/>
      <c r="GY1262" s="4"/>
      <c r="GZ1262" s="4"/>
      <c r="HA1262" s="4"/>
      <c r="HF1262" s="243"/>
      <c r="HG1262" s="209"/>
      <c r="IU1262" s="162">
        <v>9.89</v>
      </c>
      <c r="IV1262" s="198">
        <f>9.89*1.045</f>
        <v>10.34</v>
      </c>
    </row>
    <row r="1263" spans="1:256" ht="52.5" customHeight="1" x14ac:dyDescent="0.2">
      <c r="A1263" s="288" t="s">
        <v>602</v>
      </c>
      <c r="B1263" s="250" t="s">
        <v>1521</v>
      </c>
      <c r="C1263" s="277" t="s">
        <v>1405</v>
      </c>
      <c r="D1263" s="295">
        <f>10.75*1.04*1.05</f>
        <v>11.74</v>
      </c>
      <c r="E1263" s="16">
        <f t="shared" si="123"/>
        <v>2.35</v>
      </c>
      <c r="F1263" s="164">
        <f t="shared" si="124"/>
        <v>14.09</v>
      </c>
      <c r="EH1263" s="3"/>
      <c r="GS1263" s="2"/>
      <c r="GT1263" s="4"/>
      <c r="GU1263" s="4"/>
      <c r="GV1263" s="4"/>
      <c r="GW1263" s="4"/>
      <c r="GX1263" s="4"/>
      <c r="GY1263" s="4"/>
      <c r="GZ1263" s="4"/>
      <c r="HA1263" s="4"/>
      <c r="HF1263" s="243"/>
      <c r="HG1263" s="209"/>
      <c r="IU1263" s="162">
        <v>9.89</v>
      </c>
      <c r="IV1263" s="198">
        <f>9.89*1.045</f>
        <v>10.34</v>
      </c>
    </row>
    <row r="1264" spans="1:256" ht="33.75" customHeight="1" x14ac:dyDescent="0.2">
      <c r="A1264" s="288" t="s">
        <v>604</v>
      </c>
      <c r="B1264" s="250" t="s">
        <v>1522</v>
      </c>
      <c r="C1264" s="277" t="s">
        <v>1405</v>
      </c>
      <c r="D1264" s="295">
        <f>17.66*1.04*1.05</f>
        <v>19.28</v>
      </c>
      <c r="E1264" s="16">
        <f t="shared" si="123"/>
        <v>3.86</v>
      </c>
      <c r="F1264" s="164">
        <f t="shared" si="124"/>
        <v>23.14</v>
      </c>
      <c r="EH1264" s="3"/>
      <c r="GS1264" s="2"/>
      <c r="GT1264" s="4"/>
      <c r="GU1264" s="4"/>
      <c r="GV1264" s="4"/>
      <c r="GW1264" s="4"/>
      <c r="GX1264" s="4"/>
      <c r="GY1264" s="4"/>
      <c r="GZ1264" s="4"/>
      <c r="HA1264" s="4"/>
      <c r="HF1264" s="243"/>
      <c r="HG1264" s="209"/>
      <c r="IU1264" s="162">
        <v>16.25</v>
      </c>
      <c r="IV1264" s="198">
        <f>16.25*1.045</f>
        <v>16.98</v>
      </c>
    </row>
    <row r="1265" spans="1:256" ht="34.5" customHeight="1" x14ac:dyDescent="0.2">
      <c r="A1265" s="288" t="s">
        <v>606</v>
      </c>
      <c r="B1265" s="250" t="s">
        <v>1523</v>
      </c>
      <c r="C1265" s="277" t="s">
        <v>1405</v>
      </c>
      <c r="D1265" s="295">
        <f>10.75*1.04*1.05</f>
        <v>11.74</v>
      </c>
      <c r="E1265" s="16">
        <f t="shared" si="123"/>
        <v>2.35</v>
      </c>
      <c r="F1265" s="164">
        <f t="shared" si="124"/>
        <v>14.09</v>
      </c>
      <c r="EH1265" s="3"/>
      <c r="GS1265" s="2"/>
      <c r="GT1265" s="4"/>
      <c r="GU1265" s="4"/>
      <c r="GV1265" s="4"/>
      <c r="GW1265" s="4"/>
      <c r="GX1265" s="4"/>
      <c r="GY1265" s="4"/>
      <c r="GZ1265" s="4"/>
      <c r="HA1265" s="4"/>
      <c r="HF1265" s="243"/>
      <c r="HG1265" s="209"/>
      <c r="IU1265" s="162">
        <v>9.89</v>
      </c>
      <c r="IV1265" s="198">
        <f>9.89*1.045</f>
        <v>10.34</v>
      </c>
    </row>
    <row r="1266" spans="1:256" ht="19.5" customHeight="1" x14ac:dyDescent="0.2">
      <c r="A1266" s="288" t="s">
        <v>608</v>
      </c>
      <c r="B1266" s="313" t="s">
        <v>1524</v>
      </c>
      <c r="C1266" s="313"/>
      <c r="D1266" s="313"/>
      <c r="E1266" s="313"/>
      <c r="F1266" s="313"/>
      <c r="EH1266" s="3"/>
      <c r="GS1266" s="2"/>
      <c r="GT1266" s="4"/>
      <c r="GU1266" s="4"/>
      <c r="GV1266" s="4"/>
      <c r="GW1266" s="4"/>
      <c r="GX1266" s="4"/>
      <c r="GY1266" s="4"/>
      <c r="GZ1266" s="4"/>
      <c r="HA1266" s="4"/>
      <c r="HG1266" s="209"/>
    </row>
    <row r="1267" spans="1:256" ht="15.75" x14ac:dyDescent="0.2">
      <c r="A1267" s="288" t="s">
        <v>1525</v>
      </c>
      <c r="B1267" s="285" t="s">
        <v>1526</v>
      </c>
      <c r="C1267" s="277" t="s">
        <v>1527</v>
      </c>
      <c r="D1267" s="295">
        <f>7.16*1.04*1.05</f>
        <v>7.82</v>
      </c>
      <c r="E1267" s="16">
        <f t="shared" ref="E1267:E1278" si="125">D1267*20%</f>
        <v>1.56</v>
      </c>
      <c r="F1267" s="164">
        <f t="shared" ref="F1267:F1278" si="126">D1267+E1267</f>
        <v>9.3800000000000008</v>
      </c>
      <c r="EH1267" s="3"/>
      <c r="GS1267" s="2"/>
      <c r="GT1267" s="4"/>
      <c r="GU1267" s="4"/>
      <c r="GV1267" s="4"/>
      <c r="GW1267" s="4"/>
      <c r="GX1267" s="4"/>
      <c r="GY1267" s="4"/>
      <c r="GZ1267" s="4"/>
      <c r="HA1267" s="4"/>
      <c r="HF1267" s="243"/>
      <c r="HG1267" s="209"/>
      <c r="IU1267" s="162">
        <v>6.58</v>
      </c>
      <c r="IV1267" s="198">
        <f>6.58*1.045</f>
        <v>6.88</v>
      </c>
    </row>
    <row r="1268" spans="1:256" ht="15.75" x14ac:dyDescent="0.2">
      <c r="A1268" s="288" t="s">
        <v>1528</v>
      </c>
      <c r="B1268" s="285" t="s">
        <v>1529</v>
      </c>
      <c r="C1268" s="277" t="s">
        <v>1527</v>
      </c>
      <c r="D1268" s="295">
        <f>7.87*1.04*1.05</f>
        <v>8.59</v>
      </c>
      <c r="E1268" s="16">
        <f t="shared" si="125"/>
        <v>1.72</v>
      </c>
      <c r="F1268" s="164">
        <f t="shared" si="126"/>
        <v>10.31</v>
      </c>
      <c r="EH1268" s="3"/>
      <c r="GS1268" s="2"/>
      <c r="GT1268" s="4"/>
      <c r="GU1268" s="4"/>
      <c r="GV1268" s="4"/>
      <c r="GW1268" s="4"/>
      <c r="GX1268" s="4"/>
      <c r="GY1268" s="4"/>
      <c r="GZ1268" s="4"/>
      <c r="HA1268" s="4"/>
      <c r="HF1268" s="243"/>
      <c r="HG1268" s="209"/>
      <c r="IU1268" s="162">
        <v>7.24</v>
      </c>
      <c r="IV1268" s="198">
        <f>7.24*1.045</f>
        <v>7.57</v>
      </c>
    </row>
    <row r="1269" spans="1:256" ht="15.75" x14ac:dyDescent="0.2">
      <c r="A1269" s="288" t="s">
        <v>1530</v>
      </c>
      <c r="B1269" s="285" t="s">
        <v>1531</v>
      </c>
      <c r="C1269" s="277" t="s">
        <v>1527</v>
      </c>
      <c r="D1269" s="295">
        <f>9.32*1.04*1.05</f>
        <v>10.18</v>
      </c>
      <c r="E1269" s="16">
        <f t="shared" si="125"/>
        <v>2.04</v>
      </c>
      <c r="F1269" s="164">
        <f t="shared" si="126"/>
        <v>12.22</v>
      </c>
      <c r="EH1269" s="3"/>
      <c r="GS1269" s="2"/>
      <c r="GT1269" s="4"/>
      <c r="GU1269" s="4"/>
      <c r="GV1269" s="4"/>
      <c r="GW1269" s="4"/>
      <c r="GX1269" s="4"/>
      <c r="GY1269" s="4"/>
      <c r="GZ1269" s="4"/>
      <c r="HA1269" s="4"/>
      <c r="HF1269" s="243"/>
      <c r="HG1269" s="209"/>
      <c r="IU1269" s="162">
        <v>8.57</v>
      </c>
      <c r="IV1269" s="198">
        <f>8.57*1.045</f>
        <v>8.9600000000000009</v>
      </c>
    </row>
    <row r="1270" spans="1:256" ht="15.75" x14ac:dyDescent="0.2">
      <c r="A1270" s="288" t="s">
        <v>1532</v>
      </c>
      <c r="B1270" s="285" t="s">
        <v>1533</v>
      </c>
      <c r="C1270" s="277" t="s">
        <v>1527</v>
      </c>
      <c r="D1270" s="295">
        <f>10.04*1.04*1.05</f>
        <v>10.96</v>
      </c>
      <c r="E1270" s="16">
        <f t="shared" si="125"/>
        <v>2.19</v>
      </c>
      <c r="F1270" s="164">
        <f t="shared" si="126"/>
        <v>13.15</v>
      </c>
      <c r="EH1270" s="3"/>
      <c r="GS1270" s="2"/>
      <c r="GT1270" s="4"/>
      <c r="GU1270" s="4"/>
      <c r="GV1270" s="4"/>
      <c r="GW1270" s="4"/>
      <c r="GX1270" s="4"/>
      <c r="GY1270" s="4"/>
      <c r="GZ1270" s="4"/>
      <c r="HA1270" s="4"/>
      <c r="HF1270" s="243"/>
      <c r="HG1270" s="209"/>
      <c r="IU1270" s="162">
        <v>9.23</v>
      </c>
      <c r="IV1270" s="198">
        <f>9.23*1.045</f>
        <v>9.65</v>
      </c>
    </row>
    <row r="1271" spans="1:256" ht="15.75" x14ac:dyDescent="0.2">
      <c r="A1271" s="288" t="s">
        <v>1534</v>
      </c>
      <c r="B1271" s="285" t="s">
        <v>1535</v>
      </c>
      <c r="C1271" s="277" t="s">
        <v>1527</v>
      </c>
      <c r="D1271" s="295">
        <f>10.75*1.04*1.05</f>
        <v>11.74</v>
      </c>
      <c r="E1271" s="16">
        <f t="shared" si="125"/>
        <v>2.35</v>
      </c>
      <c r="F1271" s="164">
        <f t="shared" si="126"/>
        <v>14.09</v>
      </c>
      <c r="EH1271" s="3"/>
      <c r="GS1271" s="2"/>
      <c r="GT1271" s="4"/>
      <c r="GU1271" s="4"/>
      <c r="GV1271" s="4"/>
      <c r="GW1271" s="4"/>
      <c r="GX1271" s="4"/>
      <c r="GY1271" s="4"/>
      <c r="GZ1271" s="4"/>
      <c r="HA1271" s="4"/>
      <c r="HF1271" s="243"/>
      <c r="HG1271" s="209"/>
      <c r="IU1271" s="162">
        <v>9.89</v>
      </c>
      <c r="IV1271" s="198">
        <f>9.89*1.045</f>
        <v>10.34</v>
      </c>
    </row>
    <row r="1272" spans="1:256" ht="15.75" x14ac:dyDescent="0.2">
      <c r="A1272" s="288" t="s">
        <v>610</v>
      </c>
      <c r="B1272" s="285" t="s">
        <v>1536</v>
      </c>
      <c r="C1272" s="277" t="s">
        <v>1527</v>
      </c>
      <c r="D1272" s="295">
        <f>2.38*1.04*1.05</f>
        <v>2.6</v>
      </c>
      <c r="E1272" s="16">
        <f t="shared" si="125"/>
        <v>0.52</v>
      </c>
      <c r="F1272" s="164">
        <f t="shared" si="126"/>
        <v>3.12</v>
      </c>
      <c r="EH1272" s="3"/>
      <c r="GS1272" s="2"/>
      <c r="GT1272" s="4"/>
      <c r="GU1272" s="4"/>
      <c r="GV1272" s="4"/>
      <c r="GW1272" s="4"/>
      <c r="GX1272" s="4"/>
      <c r="GY1272" s="4"/>
      <c r="GZ1272" s="4"/>
      <c r="HA1272" s="4"/>
      <c r="HF1272" s="243"/>
      <c r="HG1272" s="209"/>
      <c r="IU1272" s="162">
        <v>2.19</v>
      </c>
      <c r="IV1272" s="198">
        <f>2.19*1.045</f>
        <v>2.29</v>
      </c>
    </row>
    <row r="1273" spans="1:256" ht="55.5" customHeight="1" x14ac:dyDescent="0.2">
      <c r="A1273" s="288" t="s">
        <v>612</v>
      </c>
      <c r="B1273" s="279" t="s">
        <v>1537</v>
      </c>
      <c r="C1273" s="277" t="s">
        <v>113</v>
      </c>
      <c r="D1273" s="295">
        <f>167.1*1.04*1.05</f>
        <v>182.47</v>
      </c>
      <c r="E1273" s="16">
        <f t="shared" si="125"/>
        <v>36.49</v>
      </c>
      <c r="F1273" s="164">
        <f t="shared" si="126"/>
        <v>218.96</v>
      </c>
      <c r="EH1273" s="3"/>
      <c r="GS1273" s="2"/>
      <c r="GT1273" s="4"/>
      <c r="GU1273" s="4"/>
      <c r="GV1273" s="4"/>
      <c r="GW1273" s="4"/>
      <c r="GX1273" s="4"/>
      <c r="GY1273" s="4"/>
      <c r="GZ1273" s="4"/>
      <c r="HA1273" s="4"/>
      <c r="HF1273" s="243"/>
      <c r="HG1273" s="209"/>
      <c r="IU1273" s="162">
        <v>153.75</v>
      </c>
      <c r="IV1273" s="198">
        <f>153.75*1.045</f>
        <v>160.66999999999999</v>
      </c>
    </row>
    <row r="1274" spans="1:256" ht="26.25" customHeight="1" x14ac:dyDescent="0.2">
      <c r="A1274" s="288" t="s">
        <v>613</v>
      </c>
      <c r="B1274" s="283" t="s">
        <v>1538</v>
      </c>
      <c r="C1274" s="277" t="s">
        <v>1405</v>
      </c>
      <c r="D1274" s="295">
        <f>12.17*1.04*1.05</f>
        <v>13.29</v>
      </c>
      <c r="E1274" s="16">
        <f t="shared" si="125"/>
        <v>2.66</v>
      </c>
      <c r="F1274" s="164">
        <f t="shared" si="126"/>
        <v>15.95</v>
      </c>
      <c r="EH1274" s="3"/>
      <c r="GS1274" s="2"/>
      <c r="GT1274" s="4"/>
      <c r="GU1274" s="4"/>
      <c r="GV1274" s="4"/>
      <c r="GW1274" s="4"/>
      <c r="GX1274" s="4"/>
      <c r="GY1274" s="4"/>
      <c r="GZ1274" s="4"/>
      <c r="HA1274" s="4"/>
      <c r="HF1274" s="243"/>
      <c r="HG1274" s="209"/>
      <c r="IU1274" s="162">
        <v>11.2</v>
      </c>
      <c r="IV1274" s="198">
        <f>11.2*1.045</f>
        <v>11.7</v>
      </c>
    </row>
    <row r="1275" spans="1:256" ht="18.75" customHeight="1" x14ac:dyDescent="0.2">
      <c r="A1275" s="288" t="s">
        <v>615</v>
      </c>
      <c r="B1275" s="250" t="s">
        <v>1539</v>
      </c>
      <c r="C1275" s="277" t="s">
        <v>1405</v>
      </c>
      <c r="D1275" s="295">
        <f>22.92*1.04*1.05</f>
        <v>25.03</v>
      </c>
      <c r="E1275" s="16">
        <f t="shared" si="125"/>
        <v>5.01</v>
      </c>
      <c r="F1275" s="164">
        <f t="shared" si="126"/>
        <v>30.04</v>
      </c>
      <c r="EH1275" s="3"/>
      <c r="GS1275" s="2"/>
      <c r="GT1275" s="4"/>
      <c r="GU1275" s="4"/>
      <c r="GV1275" s="4"/>
      <c r="GW1275" s="4"/>
      <c r="GX1275" s="4"/>
      <c r="GY1275" s="4"/>
      <c r="GZ1275" s="4"/>
      <c r="HA1275" s="4"/>
      <c r="HF1275" s="243"/>
      <c r="HG1275" s="209"/>
      <c r="IU1275" s="162">
        <v>21.09</v>
      </c>
      <c r="IV1275" s="198">
        <f>21.09*1.045</f>
        <v>22.04</v>
      </c>
    </row>
    <row r="1276" spans="1:256" ht="16.5" customHeight="1" x14ac:dyDescent="0.2">
      <c r="A1276" s="288" t="s">
        <v>617</v>
      </c>
      <c r="B1276" s="250" t="s">
        <v>1540</v>
      </c>
      <c r="C1276" s="277" t="s">
        <v>1405</v>
      </c>
      <c r="D1276" s="295">
        <f>22.92*1.04*1.05</f>
        <v>25.03</v>
      </c>
      <c r="E1276" s="16">
        <f t="shared" si="125"/>
        <v>5.01</v>
      </c>
      <c r="F1276" s="164">
        <f t="shared" si="126"/>
        <v>30.04</v>
      </c>
      <c r="EH1276" s="3"/>
      <c r="GS1276" s="2"/>
      <c r="GT1276" s="4"/>
      <c r="GU1276" s="4"/>
      <c r="GV1276" s="4"/>
      <c r="GW1276" s="4"/>
      <c r="GX1276" s="4"/>
      <c r="GY1276" s="4"/>
      <c r="GZ1276" s="4"/>
      <c r="HA1276" s="4"/>
      <c r="HF1276" s="243"/>
      <c r="HG1276" s="209"/>
      <c r="IU1276" s="162">
        <v>21.09</v>
      </c>
      <c r="IV1276" s="198">
        <f>21.09*1.045</f>
        <v>22.04</v>
      </c>
    </row>
    <row r="1277" spans="1:256" ht="18" customHeight="1" x14ac:dyDescent="0.2">
      <c r="A1277" s="288" t="s">
        <v>619</v>
      </c>
      <c r="B1277" s="250" t="s">
        <v>1541</v>
      </c>
      <c r="C1277" s="277" t="s">
        <v>1405</v>
      </c>
      <c r="D1277" s="295">
        <f>22.92*1.04*1.05</f>
        <v>25.03</v>
      </c>
      <c r="E1277" s="16">
        <f t="shared" si="125"/>
        <v>5.01</v>
      </c>
      <c r="F1277" s="164">
        <f t="shared" si="126"/>
        <v>30.04</v>
      </c>
      <c r="EH1277" s="3"/>
      <c r="GS1277" s="2"/>
      <c r="GT1277" s="4"/>
      <c r="GU1277" s="4"/>
      <c r="GV1277" s="4"/>
      <c r="GW1277" s="4"/>
      <c r="GX1277" s="4"/>
      <c r="GY1277" s="4"/>
      <c r="GZ1277" s="4"/>
      <c r="HA1277" s="4"/>
      <c r="HF1277" s="243"/>
      <c r="HG1277" s="209"/>
      <c r="IU1277" s="162">
        <v>21.09</v>
      </c>
      <c r="IV1277" s="198">
        <f>21.09*1.045</f>
        <v>22.04</v>
      </c>
    </row>
    <row r="1278" spans="1:256" ht="19.5" customHeight="1" x14ac:dyDescent="0.2">
      <c r="A1278" s="288" t="s">
        <v>621</v>
      </c>
      <c r="B1278" s="250" t="s">
        <v>1542</v>
      </c>
      <c r="C1278" s="277" t="s">
        <v>1405</v>
      </c>
      <c r="D1278" s="295">
        <f>22.92*1.04*1.05</f>
        <v>25.03</v>
      </c>
      <c r="E1278" s="16">
        <f t="shared" si="125"/>
        <v>5.01</v>
      </c>
      <c r="F1278" s="164">
        <f t="shared" si="126"/>
        <v>30.04</v>
      </c>
      <c r="EH1278" s="3"/>
      <c r="GS1278" s="2"/>
      <c r="GT1278" s="4"/>
      <c r="GU1278" s="4"/>
      <c r="GV1278" s="4"/>
      <c r="GW1278" s="4"/>
      <c r="GX1278" s="4"/>
      <c r="GY1278" s="4"/>
      <c r="GZ1278" s="4"/>
      <c r="HA1278" s="4"/>
      <c r="HF1278" s="243"/>
      <c r="HG1278" s="209"/>
      <c r="IU1278" s="162">
        <v>21.09</v>
      </c>
      <c r="IV1278" s="198">
        <f>21.09*1.045</f>
        <v>22.04</v>
      </c>
    </row>
    <row r="1279" spans="1:256" ht="16.5" customHeight="1" x14ac:dyDescent="0.2">
      <c r="A1279" s="288" t="s">
        <v>623</v>
      </c>
      <c r="B1279" s="322" t="s">
        <v>1543</v>
      </c>
      <c r="C1279" s="322"/>
      <c r="D1279" s="322"/>
      <c r="E1279" s="322"/>
      <c r="F1279" s="322"/>
      <c r="EH1279" s="3"/>
      <c r="GS1279" s="2"/>
      <c r="GT1279" s="4"/>
      <c r="GU1279" s="4"/>
      <c r="GV1279" s="4"/>
      <c r="GW1279" s="4"/>
      <c r="GX1279" s="4"/>
      <c r="GY1279" s="4"/>
      <c r="GZ1279" s="4"/>
      <c r="HA1279" s="4"/>
      <c r="HG1279" s="209"/>
    </row>
    <row r="1280" spans="1:256" ht="24" customHeight="1" x14ac:dyDescent="0.2">
      <c r="A1280" s="288" t="s">
        <v>1544</v>
      </c>
      <c r="B1280" s="251" t="s">
        <v>1455</v>
      </c>
      <c r="C1280" s="277" t="s">
        <v>113</v>
      </c>
      <c r="D1280" s="295">
        <f>22.92*1.04*1.05</f>
        <v>25.03</v>
      </c>
      <c r="E1280" s="16">
        <f>D1280*20%</f>
        <v>5.01</v>
      </c>
      <c r="F1280" s="164">
        <f>D1280+E1280</f>
        <v>30.04</v>
      </c>
      <c r="EH1280" s="3"/>
      <c r="GS1280" s="2"/>
      <c r="GT1280" s="4"/>
      <c r="GU1280" s="4"/>
      <c r="GV1280" s="4"/>
      <c r="GW1280" s="4"/>
      <c r="GX1280" s="4"/>
      <c r="GY1280" s="4"/>
      <c r="GZ1280" s="4"/>
      <c r="HA1280" s="4"/>
      <c r="HF1280" s="243"/>
      <c r="HG1280" s="209"/>
      <c r="IU1280" s="162">
        <v>21.09</v>
      </c>
      <c r="IV1280" s="198">
        <f>21.09*1.045</f>
        <v>22.04</v>
      </c>
    </row>
    <row r="1281" spans="1:256" ht="21" customHeight="1" x14ac:dyDescent="0.2">
      <c r="A1281" s="288" t="s">
        <v>1545</v>
      </c>
      <c r="B1281" s="251" t="s">
        <v>1488</v>
      </c>
      <c r="C1281" s="277" t="s">
        <v>1405</v>
      </c>
      <c r="D1281" s="295">
        <f>38.91*1.04*1.05</f>
        <v>42.49</v>
      </c>
      <c r="E1281" s="16">
        <f>D1281*20%</f>
        <v>8.5</v>
      </c>
      <c r="F1281" s="164">
        <f>D1281+E1281</f>
        <v>50.99</v>
      </c>
      <c r="EH1281" s="3"/>
      <c r="GS1281" s="2"/>
      <c r="GT1281" s="4"/>
      <c r="GU1281" s="4"/>
      <c r="GV1281" s="4"/>
      <c r="GW1281" s="4"/>
      <c r="GX1281" s="4"/>
      <c r="GY1281" s="4"/>
      <c r="GZ1281" s="4"/>
      <c r="HA1281" s="4"/>
      <c r="HF1281" s="243"/>
      <c r="HG1281" s="209"/>
      <c r="IU1281" s="162">
        <v>35.799999999999997</v>
      </c>
      <c r="IV1281" s="198">
        <f>35.8*1.045</f>
        <v>37.409999999999997</v>
      </c>
    </row>
    <row r="1282" spans="1:256" ht="51.75" customHeight="1" x14ac:dyDescent="0.2">
      <c r="A1282" s="178" t="s">
        <v>28</v>
      </c>
      <c r="B1282" s="326" t="s">
        <v>1873</v>
      </c>
      <c r="C1282" s="326"/>
      <c r="D1282" s="326"/>
      <c r="E1282" s="326"/>
      <c r="F1282" s="326"/>
      <c r="EH1282" s="3"/>
      <c r="GS1282" s="2"/>
      <c r="GT1282" s="4"/>
      <c r="GU1282" s="4"/>
      <c r="GV1282" s="4"/>
      <c r="GW1282" s="4"/>
      <c r="GX1282" s="4"/>
      <c r="GY1282" s="4"/>
      <c r="GZ1282" s="4"/>
      <c r="HA1282" s="4"/>
      <c r="HG1282" s="209"/>
    </row>
    <row r="1283" spans="1:256" ht="21.75" customHeight="1" x14ac:dyDescent="0.2">
      <c r="A1283" s="288" t="s">
        <v>633</v>
      </c>
      <c r="B1283" s="251" t="s">
        <v>1546</v>
      </c>
      <c r="C1283" s="277" t="s">
        <v>1547</v>
      </c>
      <c r="D1283" s="295">
        <f>1.44*1.04*1.05</f>
        <v>1.57</v>
      </c>
      <c r="E1283" s="16">
        <f t="shared" ref="E1283:E1291" si="127">D1283*20%</f>
        <v>0.31</v>
      </c>
      <c r="F1283" s="164">
        <f t="shared" ref="F1283:F1289" si="128">D1283+E1283</f>
        <v>1.88</v>
      </c>
      <c r="EH1283" s="3"/>
      <c r="GS1283" s="2"/>
      <c r="GT1283" s="4"/>
      <c r="GU1283" s="4"/>
      <c r="GV1283" s="4"/>
      <c r="GW1283" s="4"/>
      <c r="GX1283" s="4"/>
      <c r="GY1283" s="4"/>
      <c r="GZ1283" s="4"/>
      <c r="HA1283" s="4"/>
      <c r="HF1283" s="243"/>
      <c r="HG1283" s="209"/>
      <c r="IU1283" s="162">
        <v>1.32</v>
      </c>
      <c r="IV1283" s="198">
        <f>1.32*1.045</f>
        <v>1.38</v>
      </c>
    </row>
    <row r="1284" spans="1:256" ht="42" customHeight="1" x14ac:dyDescent="0.2">
      <c r="A1284" s="288" t="s">
        <v>634</v>
      </c>
      <c r="B1284" s="300" t="s">
        <v>1548</v>
      </c>
      <c r="C1284" s="277" t="s">
        <v>202</v>
      </c>
      <c r="D1284" s="295">
        <f>0.17*1.04*1.05</f>
        <v>0.19</v>
      </c>
      <c r="E1284" s="16">
        <f t="shared" si="127"/>
        <v>0.04</v>
      </c>
      <c r="F1284" s="164">
        <f>D1284+E1284</f>
        <v>0.23</v>
      </c>
      <c r="EH1284" s="3"/>
      <c r="GS1284" s="2"/>
      <c r="GT1284" s="4"/>
      <c r="GU1284" s="4"/>
      <c r="GV1284" s="4"/>
      <c r="GW1284" s="4"/>
      <c r="GX1284" s="4"/>
      <c r="GY1284" s="4"/>
      <c r="GZ1284" s="4"/>
      <c r="HA1284" s="4"/>
      <c r="HF1284" s="243"/>
      <c r="HG1284" s="209"/>
      <c r="IU1284" s="162">
        <v>0.15</v>
      </c>
      <c r="IV1284" s="198">
        <f>0.15*1.045</f>
        <v>0.16</v>
      </c>
    </row>
    <row r="1285" spans="1:256" ht="20.25" customHeight="1" x14ac:dyDescent="0.2">
      <c r="A1285" s="288" t="s">
        <v>635</v>
      </c>
      <c r="B1285" s="251" t="s">
        <v>1549</v>
      </c>
      <c r="C1285" s="277" t="s">
        <v>202</v>
      </c>
      <c r="D1285" s="295">
        <f>0.14*1.04*1.05</f>
        <v>0.15</v>
      </c>
      <c r="E1285" s="16">
        <f t="shared" si="127"/>
        <v>0.03</v>
      </c>
      <c r="F1285" s="164">
        <f t="shared" si="128"/>
        <v>0.18</v>
      </c>
      <c r="EH1285" s="3"/>
      <c r="GS1285" s="2"/>
      <c r="GT1285" s="4"/>
      <c r="GU1285" s="4"/>
      <c r="GV1285" s="4"/>
      <c r="GW1285" s="4"/>
      <c r="GX1285" s="4"/>
      <c r="GY1285" s="4"/>
      <c r="GZ1285" s="4"/>
      <c r="HA1285" s="4"/>
      <c r="HF1285" s="243"/>
      <c r="HG1285" s="209"/>
      <c r="IU1285" s="162">
        <v>0.12</v>
      </c>
      <c r="IV1285" s="198">
        <f>0.12*1.045</f>
        <v>0.13</v>
      </c>
    </row>
    <row r="1286" spans="1:256" ht="21.75" customHeight="1" x14ac:dyDescent="0.2">
      <c r="A1286" s="288" t="s">
        <v>637</v>
      </c>
      <c r="B1286" s="251" t="s">
        <v>1550</v>
      </c>
      <c r="C1286" s="277" t="s">
        <v>1547</v>
      </c>
      <c r="D1286" s="295">
        <f>1.2*1.04*1.05</f>
        <v>1.31</v>
      </c>
      <c r="E1286" s="16">
        <f t="shared" si="127"/>
        <v>0.26</v>
      </c>
      <c r="F1286" s="164">
        <f t="shared" si="128"/>
        <v>1.57</v>
      </c>
      <c r="EH1286" s="3"/>
      <c r="GS1286" s="2"/>
      <c r="GT1286" s="4"/>
      <c r="GU1286" s="4"/>
      <c r="GV1286" s="4"/>
      <c r="GW1286" s="4"/>
      <c r="GX1286" s="4"/>
      <c r="GY1286" s="4"/>
      <c r="GZ1286" s="4"/>
      <c r="HA1286" s="4"/>
      <c r="HF1286" s="243"/>
      <c r="HG1286" s="209"/>
      <c r="IU1286" s="162">
        <v>1.1000000000000001</v>
      </c>
      <c r="IV1286" s="198">
        <f>1.1*1.045</f>
        <v>1.1499999999999999</v>
      </c>
    </row>
    <row r="1287" spans="1:256" ht="19.5" customHeight="1" x14ac:dyDescent="0.2">
      <c r="A1287" s="288" t="s">
        <v>639</v>
      </c>
      <c r="B1287" s="251" t="s">
        <v>1551</v>
      </c>
      <c r="C1287" s="277" t="s">
        <v>1547</v>
      </c>
      <c r="D1287" s="295">
        <f>2.38*1.04*1.05</f>
        <v>2.6</v>
      </c>
      <c r="E1287" s="16">
        <f t="shared" si="127"/>
        <v>0.52</v>
      </c>
      <c r="F1287" s="164">
        <f t="shared" si="128"/>
        <v>3.12</v>
      </c>
      <c r="EH1287" s="3"/>
      <c r="GS1287" s="2"/>
      <c r="GT1287" s="4"/>
      <c r="GU1287" s="4"/>
      <c r="GV1287" s="4"/>
      <c r="GW1287" s="4"/>
      <c r="GX1287" s="4"/>
      <c r="GY1287" s="4"/>
      <c r="GZ1287" s="4"/>
      <c r="HA1287" s="4"/>
      <c r="HF1287" s="243"/>
      <c r="HG1287" s="209"/>
      <c r="IU1287" s="162">
        <v>2.19</v>
      </c>
      <c r="IV1287" s="198">
        <f>2.19*1.045</f>
        <v>2.29</v>
      </c>
    </row>
    <row r="1288" spans="1:256" ht="19.5" customHeight="1" x14ac:dyDescent="0.2">
      <c r="A1288" s="288" t="s">
        <v>640</v>
      </c>
      <c r="B1288" s="251" t="s">
        <v>1552</v>
      </c>
      <c r="C1288" s="277" t="s">
        <v>1547</v>
      </c>
      <c r="D1288" s="295">
        <f>1.2*1.04*1.05</f>
        <v>1.31</v>
      </c>
      <c r="E1288" s="16">
        <f t="shared" si="127"/>
        <v>0.26</v>
      </c>
      <c r="F1288" s="164">
        <f t="shared" si="128"/>
        <v>1.57</v>
      </c>
      <c r="EH1288" s="3"/>
      <c r="GS1288" s="2"/>
      <c r="GT1288" s="4"/>
      <c r="GU1288" s="4"/>
      <c r="GV1288" s="4"/>
      <c r="GW1288" s="4"/>
      <c r="GX1288" s="4"/>
      <c r="GY1288" s="4"/>
      <c r="GZ1288" s="4"/>
      <c r="HA1288" s="4"/>
      <c r="HF1288" s="243"/>
      <c r="HG1288" s="209"/>
      <c r="IU1288" s="162">
        <v>1.1000000000000001</v>
      </c>
      <c r="IV1288" s="198">
        <f>1.1*1.045</f>
        <v>1.1499999999999999</v>
      </c>
    </row>
    <row r="1289" spans="1:256" ht="18" customHeight="1" x14ac:dyDescent="0.2">
      <c r="A1289" s="288" t="s">
        <v>641</v>
      </c>
      <c r="B1289" s="251" t="s">
        <v>1553</v>
      </c>
      <c r="C1289" s="277" t="s">
        <v>1405</v>
      </c>
      <c r="D1289" s="295">
        <f>7.16*1.04*1.05</f>
        <v>7.82</v>
      </c>
      <c r="E1289" s="16">
        <f t="shared" si="127"/>
        <v>1.56</v>
      </c>
      <c r="F1289" s="164">
        <f t="shared" si="128"/>
        <v>9.3800000000000008</v>
      </c>
      <c r="EH1289" s="3"/>
      <c r="GS1289" s="2"/>
      <c r="GT1289" s="4"/>
      <c r="GU1289" s="4"/>
      <c r="GV1289" s="4"/>
      <c r="GW1289" s="4"/>
      <c r="GX1289" s="4"/>
      <c r="GY1289" s="4"/>
      <c r="GZ1289" s="4"/>
      <c r="HA1289" s="4"/>
      <c r="HF1289" s="243"/>
      <c r="HG1289" s="209"/>
      <c r="IU1289" s="162">
        <v>6.58</v>
      </c>
      <c r="IV1289" s="198">
        <f>6.58*1.045</f>
        <v>6.88</v>
      </c>
    </row>
    <row r="1290" spans="1:256" ht="34.5" customHeight="1" x14ac:dyDescent="0.2">
      <c r="A1290" s="288" t="s">
        <v>642</v>
      </c>
      <c r="B1290" s="251" t="s">
        <v>1554</v>
      </c>
      <c r="C1290" s="277" t="s">
        <v>1555</v>
      </c>
      <c r="D1290" s="295">
        <f>6.74*1.04*1.05</f>
        <v>7.36</v>
      </c>
      <c r="E1290" s="16">
        <f t="shared" si="127"/>
        <v>1.47</v>
      </c>
      <c r="F1290" s="164">
        <f>D1290+E1290</f>
        <v>8.83</v>
      </c>
      <c r="EH1290" s="3"/>
      <c r="GS1290" s="2"/>
      <c r="GT1290" s="4"/>
      <c r="GU1290" s="4"/>
      <c r="GV1290" s="4"/>
      <c r="GW1290" s="4"/>
      <c r="GX1290" s="4"/>
      <c r="GY1290" s="4"/>
      <c r="GZ1290" s="4"/>
      <c r="HA1290" s="4"/>
      <c r="HF1290" s="243"/>
      <c r="HG1290" s="209"/>
      <c r="IU1290" s="162">
        <v>6.2</v>
      </c>
      <c r="IV1290" s="198">
        <f>6.2*1.045</f>
        <v>6.48</v>
      </c>
    </row>
    <row r="1291" spans="1:256" ht="34.5" customHeight="1" x14ac:dyDescent="0.2">
      <c r="A1291" s="288" t="s">
        <v>1556</v>
      </c>
      <c r="B1291" s="251" t="s">
        <v>1557</v>
      </c>
      <c r="C1291" s="277" t="s">
        <v>1558</v>
      </c>
      <c r="D1291" s="295">
        <f>1.37*1.04*1.05</f>
        <v>1.5</v>
      </c>
      <c r="E1291" s="16">
        <f t="shared" si="127"/>
        <v>0.3</v>
      </c>
      <c r="F1291" s="164">
        <f>D1291+E1291</f>
        <v>1.8</v>
      </c>
      <c r="EH1291" s="3"/>
      <c r="GS1291" s="2"/>
      <c r="GT1291" s="4"/>
      <c r="GU1291" s="4"/>
      <c r="GV1291" s="4"/>
      <c r="GW1291" s="4"/>
      <c r="GX1291" s="4"/>
      <c r="GY1291" s="4"/>
      <c r="GZ1291" s="4"/>
      <c r="HA1291" s="4"/>
      <c r="HF1291" s="243"/>
      <c r="HG1291" s="209"/>
      <c r="IU1291" s="162">
        <v>1.26</v>
      </c>
      <c r="IV1291" s="198">
        <f>1.26*1.045</f>
        <v>1.32</v>
      </c>
    </row>
    <row r="1292" spans="1:256" ht="49.5" customHeight="1" x14ac:dyDescent="0.2">
      <c r="A1292" s="178" t="s">
        <v>30</v>
      </c>
      <c r="B1292" s="326" t="s">
        <v>1874</v>
      </c>
      <c r="C1292" s="326"/>
      <c r="D1292" s="326"/>
      <c r="E1292" s="326"/>
      <c r="F1292" s="326"/>
      <c r="EH1292" s="3"/>
      <c r="GS1292" s="2"/>
      <c r="GT1292" s="4"/>
      <c r="GU1292" s="4"/>
      <c r="GV1292" s="4"/>
      <c r="GW1292" s="4"/>
      <c r="GX1292" s="4"/>
      <c r="GY1292" s="4"/>
      <c r="GZ1292" s="4"/>
      <c r="HA1292" s="4"/>
      <c r="HG1292" s="209"/>
    </row>
    <row r="1293" spans="1:256" ht="15.75" customHeight="1" x14ac:dyDescent="0.2">
      <c r="A1293" s="288" t="s">
        <v>645</v>
      </c>
      <c r="B1293" s="313" t="s">
        <v>1559</v>
      </c>
      <c r="C1293" s="313"/>
      <c r="D1293" s="313"/>
      <c r="E1293" s="313"/>
      <c r="F1293" s="313"/>
      <c r="EH1293" s="3"/>
      <c r="GS1293" s="2"/>
      <c r="GT1293" s="4"/>
      <c r="GU1293" s="4"/>
      <c r="GV1293" s="4"/>
      <c r="GW1293" s="4"/>
      <c r="GX1293" s="4"/>
      <c r="GY1293" s="4"/>
      <c r="GZ1293" s="4"/>
      <c r="HA1293" s="4"/>
      <c r="HG1293" s="209"/>
    </row>
    <row r="1294" spans="1:256" ht="15.75" x14ac:dyDescent="0.2">
      <c r="A1294" s="288" t="s">
        <v>1560</v>
      </c>
      <c r="B1294" s="285" t="s">
        <v>1561</v>
      </c>
      <c r="C1294" s="277" t="s">
        <v>1547</v>
      </c>
      <c r="D1294" s="295">
        <f>121.25*1.04*1.05</f>
        <v>132.41</v>
      </c>
      <c r="E1294" s="16">
        <f t="shared" ref="E1294:E1304" si="129">D1294*20%</f>
        <v>26.48</v>
      </c>
      <c r="F1294" s="164">
        <f>D1294+E1294</f>
        <v>158.88999999999999</v>
      </c>
      <c r="EH1294" s="3"/>
      <c r="GS1294" s="2"/>
      <c r="GT1294" s="4"/>
      <c r="GU1294" s="4"/>
      <c r="GV1294" s="4"/>
      <c r="GW1294" s="4"/>
      <c r="GX1294" s="4"/>
      <c r="GY1294" s="4"/>
      <c r="GZ1294" s="4"/>
      <c r="HA1294" s="4"/>
      <c r="HF1294" s="243"/>
      <c r="HG1294" s="209"/>
      <c r="IU1294" s="162">
        <v>111.57</v>
      </c>
      <c r="IV1294" s="198">
        <f>111.57*1.045</f>
        <v>116.59</v>
      </c>
    </row>
    <row r="1295" spans="1:256" ht="15.75" x14ac:dyDescent="0.2">
      <c r="A1295" s="288" t="s">
        <v>1562</v>
      </c>
      <c r="B1295" s="285" t="s">
        <v>1563</v>
      </c>
      <c r="C1295" s="277" t="s">
        <v>1547</v>
      </c>
      <c r="D1295" s="295">
        <f>181.89*1.04*1.05</f>
        <v>198.62</v>
      </c>
      <c r="E1295" s="16">
        <f t="shared" si="129"/>
        <v>39.72</v>
      </c>
      <c r="F1295" s="164">
        <f t="shared" ref="F1295:F1304" si="130">D1295+E1295</f>
        <v>238.34</v>
      </c>
      <c r="EH1295" s="3"/>
      <c r="GS1295" s="2"/>
      <c r="GT1295" s="4"/>
      <c r="GU1295" s="4"/>
      <c r="GV1295" s="4"/>
      <c r="GW1295" s="4"/>
      <c r="GX1295" s="4"/>
      <c r="GY1295" s="4"/>
      <c r="GZ1295" s="4"/>
      <c r="HA1295" s="4"/>
      <c r="HF1295" s="243"/>
      <c r="HG1295" s="209"/>
      <c r="IU1295" s="162">
        <v>167.36</v>
      </c>
      <c r="IV1295" s="198">
        <f>167.36*1.045</f>
        <v>174.89</v>
      </c>
    </row>
    <row r="1296" spans="1:256" ht="15.75" x14ac:dyDescent="0.2">
      <c r="A1296" s="288" t="s">
        <v>1564</v>
      </c>
      <c r="B1296" s="285" t="s">
        <v>1565</v>
      </c>
      <c r="C1296" s="277" t="s">
        <v>1547</v>
      </c>
      <c r="D1296" s="295">
        <f>303.13*1.04*1.05</f>
        <v>331.02</v>
      </c>
      <c r="E1296" s="16">
        <f t="shared" si="129"/>
        <v>66.2</v>
      </c>
      <c r="F1296" s="164">
        <f t="shared" si="130"/>
        <v>397.22</v>
      </c>
      <c r="EH1296" s="3"/>
      <c r="GS1296" s="2"/>
      <c r="GT1296" s="4"/>
      <c r="GU1296" s="4"/>
      <c r="GV1296" s="4"/>
      <c r="GW1296" s="4"/>
      <c r="GX1296" s="4"/>
      <c r="GY1296" s="4"/>
      <c r="GZ1296" s="4"/>
      <c r="HA1296" s="4"/>
      <c r="HF1296" s="243"/>
      <c r="HG1296" s="209"/>
      <c r="IU1296" s="162">
        <v>278.92</v>
      </c>
      <c r="IV1296" s="198">
        <f>278.92*1.045</f>
        <v>291.47000000000003</v>
      </c>
    </row>
    <row r="1297" spans="1:256" ht="15.75" customHeight="1" x14ac:dyDescent="0.2">
      <c r="A1297" s="288" t="s">
        <v>1566</v>
      </c>
      <c r="B1297" s="285" t="s">
        <v>1567</v>
      </c>
      <c r="C1297" s="277" t="s">
        <v>1547</v>
      </c>
      <c r="D1297" s="295">
        <f>454.72*1.04*1.05</f>
        <v>496.55</v>
      </c>
      <c r="E1297" s="16">
        <f t="shared" si="129"/>
        <v>99.31</v>
      </c>
      <c r="F1297" s="164">
        <f>D1297+E1297</f>
        <v>595.86</v>
      </c>
      <c r="EH1297" s="3"/>
      <c r="GS1297" s="2"/>
      <c r="GT1297" s="4"/>
      <c r="GU1297" s="4"/>
      <c r="GV1297" s="4"/>
      <c r="GW1297" s="4"/>
      <c r="GX1297" s="4"/>
      <c r="GY1297" s="4"/>
      <c r="GZ1297" s="4"/>
      <c r="HA1297" s="4"/>
      <c r="HF1297" s="243"/>
      <c r="HG1297" s="209"/>
      <c r="IU1297" s="162">
        <v>418.4</v>
      </c>
      <c r="IV1297" s="198">
        <f>418.4*1.045</f>
        <v>437.23</v>
      </c>
    </row>
    <row r="1298" spans="1:256" ht="15.75" customHeight="1" x14ac:dyDescent="0.2">
      <c r="A1298" s="288" t="s">
        <v>1568</v>
      </c>
      <c r="B1298" s="285" t="s">
        <v>1569</v>
      </c>
      <c r="C1298" s="277" t="s">
        <v>1547</v>
      </c>
      <c r="D1298" s="295">
        <f>716.08*1.04*1.05</f>
        <v>781.96</v>
      </c>
      <c r="E1298" s="16">
        <f t="shared" si="129"/>
        <v>156.38999999999999</v>
      </c>
      <c r="F1298" s="164">
        <f t="shared" si="130"/>
        <v>938.35</v>
      </c>
      <c r="EH1298" s="3"/>
      <c r="GS1298" s="2"/>
      <c r="GT1298" s="4"/>
      <c r="GU1298" s="4"/>
      <c r="GV1298" s="4"/>
      <c r="GW1298" s="4"/>
      <c r="GX1298" s="4"/>
      <c r="GY1298" s="4"/>
      <c r="GZ1298" s="4"/>
      <c r="HA1298" s="4"/>
      <c r="HF1298" s="243"/>
      <c r="HG1298" s="209"/>
      <c r="IU1298" s="162">
        <v>658.89</v>
      </c>
      <c r="IV1298" s="198">
        <f>658.89*1.045</f>
        <v>688.54</v>
      </c>
    </row>
    <row r="1299" spans="1:256" ht="15.75" x14ac:dyDescent="0.2">
      <c r="A1299" s="288" t="s">
        <v>646</v>
      </c>
      <c r="B1299" s="279" t="s">
        <v>1570</v>
      </c>
      <c r="C1299" s="277" t="s">
        <v>1547</v>
      </c>
      <c r="D1299" s="295">
        <f>238.7*1.04*1.05</f>
        <v>260.66000000000003</v>
      </c>
      <c r="E1299" s="16">
        <f t="shared" si="129"/>
        <v>52.13</v>
      </c>
      <c r="F1299" s="164">
        <f t="shared" si="130"/>
        <v>312.79000000000002</v>
      </c>
      <c r="EH1299" s="3"/>
      <c r="GS1299" s="2"/>
      <c r="GT1299" s="4"/>
      <c r="GU1299" s="4"/>
      <c r="GV1299" s="4"/>
      <c r="GW1299" s="4"/>
      <c r="GX1299" s="4"/>
      <c r="GY1299" s="4"/>
      <c r="GZ1299" s="4"/>
      <c r="HA1299" s="4"/>
      <c r="HF1299" s="243"/>
      <c r="HG1299" s="209"/>
      <c r="IU1299" s="162">
        <v>219.64</v>
      </c>
      <c r="IV1299" s="198">
        <f>219.64*1.045</f>
        <v>229.52</v>
      </c>
    </row>
    <row r="1300" spans="1:256" ht="15.75" x14ac:dyDescent="0.2">
      <c r="A1300" s="288" t="s">
        <v>647</v>
      </c>
      <c r="B1300" s="279" t="s">
        <v>1571</v>
      </c>
      <c r="C1300" s="277" t="s">
        <v>1547</v>
      </c>
      <c r="D1300" s="295">
        <f>159.2*1.04*1.05</f>
        <v>173.85</v>
      </c>
      <c r="E1300" s="16">
        <f t="shared" si="129"/>
        <v>34.770000000000003</v>
      </c>
      <c r="F1300" s="164">
        <f t="shared" si="130"/>
        <v>208.62</v>
      </c>
      <c r="EH1300" s="3"/>
      <c r="GS1300" s="2"/>
      <c r="GT1300" s="4"/>
      <c r="GU1300" s="4"/>
      <c r="GV1300" s="4"/>
      <c r="GW1300" s="4"/>
      <c r="GX1300" s="4"/>
      <c r="GY1300" s="4"/>
      <c r="GZ1300" s="4"/>
      <c r="HA1300" s="4"/>
      <c r="HF1300" s="243"/>
      <c r="HG1300" s="209"/>
      <c r="IU1300" s="162">
        <v>146.49</v>
      </c>
      <c r="IV1300" s="198">
        <f>146.49*1.045</f>
        <v>153.08000000000001</v>
      </c>
    </row>
    <row r="1301" spans="1:256" ht="15.75" x14ac:dyDescent="0.2">
      <c r="A1301" s="288" t="s">
        <v>648</v>
      </c>
      <c r="B1301" s="279" t="s">
        <v>1572</v>
      </c>
      <c r="C1301" s="277" t="s">
        <v>1547</v>
      </c>
      <c r="D1301" s="295">
        <f>238.7*1.04*1.05</f>
        <v>260.66000000000003</v>
      </c>
      <c r="E1301" s="16">
        <f t="shared" si="129"/>
        <v>52.13</v>
      </c>
      <c r="F1301" s="164">
        <f t="shared" si="130"/>
        <v>312.79000000000002</v>
      </c>
      <c r="EH1301" s="3"/>
      <c r="GS1301" s="2"/>
      <c r="GT1301" s="4"/>
      <c r="GU1301" s="4"/>
      <c r="GV1301" s="4"/>
      <c r="GW1301" s="4"/>
      <c r="GX1301" s="4"/>
      <c r="GY1301" s="4"/>
      <c r="GZ1301" s="4"/>
      <c r="HA1301" s="4"/>
      <c r="HF1301" s="243"/>
      <c r="HG1301" s="209"/>
      <c r="IU1301" s="162">
        <v>219.64</v>
      </c>
      <c r="IV1301" s="198">
        <f>219.64*1.045</f>
        <v>229.52</v>
      </c>
    </row>
    <row r="1302" spans="1:256" ht="31.5" x14ac:dyDescent="0.2">
      <c r="A1302" s="288" t="s">
        <v>650</v>
      </c>
      <c r="B1302" s="279" t="s">
        <v>1573</v>
      </c>
      <c r="C1302" s="277" t="s">
        <v>1547</v>
      </c>
      <c r="D1302" s="295">
        <f>238.7*1.04*1.05</f>
        <v>260.66000000000003</v>
      </c>
      <c r="E1302" s="16">
        <f t="shared" si="129"/>
        <v>52.13</v>
      </c>
      <c r="F1302" s="164">
        <f t="shared" si="130"/>
        <v>312.79000000000002</v>
      </c>
      <c r="EH1302" s="3"/>
      <c r="GS1302" s="2"/>
      <c r="GT1302" s="4"/>
      <c r="GU1302" s="4"/>
      <c r="GV1302" s="4"/>
      <c r="GW1302" s="4"/>
      <c r="GX1302" s="4"/>
      <c r="GY1302" s="4"/>
      <c r="GZ1302" s="4"/>
      <c r="HA1302" s="4"/>
      <c r="HF1302" s="243"/>
      <c r="HG1302" s="209"/>
      <c r="IU1302" s="162">
        <v>219.64</v>
      </c>
      <c r="IV1302" s="198">
        <f>219.64*1.045</f>
        <v>229.52</v>
      </c>
    </row>
    <row r="1303" spans="1:256" ht="26.25" customHeight="1" x14ac:dyDescent="0.2">
      <c r="A1303" s="288" t="s">
        <v>652</v>
      </c>
      <c r="B1303" s="279" t="s">
        <v>1574</v>
      </c>
      <c r="C1303" s="277" t="s">
        <v>1547</v>
      </c>
      <c r="D1303" s="295">
        <f>79.48*1.04*1.05</f>
        <v>86.79</v>
      </c>
      <c r="E1303" s="16">
        <f t="shared" si="129"/>
        <v>17.36</v>
      </c>
      <c r="F1303" s="164">
        <f>D1303+E1303</f>
        <v>104.15</v>
      </c>
      <c r="EH1303" s="3"/>
      <c r="GS1303" s="2"/>
      <c r="GT1303" s="4"/>
      <c r="GU1303" s="4"/>
      <c r="GV1303" s="4"/>
      <c r="GW1303" s="4"/>
      <c r="GX1303" s="4"/>
      <c r="GY1303" s="4"/>
      <c r="GZ1303" s="4"/>
      <c r="HA1303" s="4"/>
      <c r="HF1303" s="243"/>
      <c r="HG1303" s="209"/>
      <c r="IU1303" s="162">
        <v>73.13</v>
      </c>
      <c r="IV1303" s="198">
        <f>73.13*1.045</f>
        <v>76.42</v>
      </c>
    </row>
    <row r="1304" spans="1:256" ht="15.75" x14ac:dyDescent="0.2">
      <c r="A1304" s="288" t="s">
        <v>654</v>
      </c>
      <c r="B1304" s="279" t="s">
        <v>1575</v>
      </c>
      <c r="C1304" s="277" t="s">
        <v>1547</v>
      </c>
      <c r="D1304" s="295">
        <f>716.08*1.04*1.05</f>
        <v>781.96</v>
      </c>
      <c r="E1304" s="16">
        <f t="shared" si="129"/>
        <v>156.38999999999999</v>
      </c>
      <c r="F1304" s="164">
        <f t="shared" si="130"/>
        <v>938.35</v>
      </c>
      <c r="EH1304" s="3"/>
      <c r="GS1304" s="2"/>
      <c r="GT1304" s="4"/>
      <c r="GU1304" s="4"/>
      <c r="GV1304" s="4"/>
      <c r="GW1304" s="4"/>
      <c r="GX1304" s="4"/>
      <c r="GY1304" s="4"/>
      <c r="GZ1304" s="4"/>
      <c r="HA1304" s="4"/>
      <c r="HF1304" s="243"/>
      <c r="HG1304" s="209"/>
      <c r="IU1304" s="162">
        <v>658.89</v>
      </c>
      <c r="IV1304" s="198">
        <f>658.89*1.045</f>
        <v>688.54</v>
      </c>
    </row>
    <row r="1305" spans="1:256" ht="20.25" customHeight="1" x14ac:dyDescent="0.2">
      <c r="A1305" s="288" t="s">
        <v>1576</v>
      </c>
      <c r="B1305" s="313" t="s">
        <v>1577</v>
      </c>
      <c r="C1305" s="313"/>
      <c r="D1305" s="313"/>
      <c r="E1305" s="313"/>
      <c r="F1305" s="313"/>
      <c r="EH1305" s="3"/>
      <c r="GS1305" s="2"/>
      <c r="GT1305" s="4"/>
      <c r="GU1305" s="4"/>
      <c r="GV1305" s="4"/>
      <c r="GW1305" s="4"/>
      <c r="GX1305" s="4"/>
      <c r="GY1305" s="4"/>
      <c r="GZ1305" s="4"/>
      <c r="HA1305" s="4"/>
      <c r="HG1305" s="209"/>
    </row>
    <row r="1306" spans="1:256" ht="20.25" customHeight="1" x14ac:dyDescent="0.2">
      <c r="A1306" s="288" t="s">
        <v>1578</v>
      </c>
      <c r="B1306" s="285" t="s">
        <v>1579</v>
      </c>
      <c r="C1306" s="277" t="s">
        <v>1547</v>
      </c>
      <c r="D1306" s="295">
        <f>54.28*1.04*1.05</f>
        <v>59.27</v>
      </c>
      <c r="E1306" s="16">
        <f>D1306*20%</f>
        <v>11.85</v>
      </c>
      <c r="F1306" s="164">
        <f>D1306+E1306</f>
        <v>71.12</v>
      </c>
      <c r="EH1306" s="3"/>
      <c r="GS1306" s="2"/>
      <c r="GT1306" s="4"/>
      <c r="GU1306" s="4"/>
      <c r="GV1306" s="4"/>
      <c r="GW1306" s="4"/>
      <c r="GX1306" s="4"/>
      <c r="GY1306" s="4"/>
      <c r="GZ1306" s="4"/>
      <c r="HA1306" s="4"/>
      <c r="HF1306" s="243"/>
      <c r="HG1306" s="209"/>
      <c r="IU1306" s="162">
        <v>49.94</v>
      </c>
      <c r="IV1306" s="198">
        <f>49.94*1.045</f>
        <v>52.19</v>
      </c>
    </row>
    <row r="1307" spans="1:256" ht="19.5" customHeight="1" x14ac:dyDescent="0.2">
      <c r="A1307" s="288" t="s">
        <v>1580</v>
      </c>
      <c r="B1307" s="285" t="s">
        <v>1581</v>
      </c>
      <c r="C1307" s="277" t="s">
        <v>1547</v>
      </c>
      <c r="D1307" s="295">
        <f>18.16*1.04*1.05</f>
        <v>19.829999999999998</v>
      </c>
      <c r="E1307" s="16">
        <f>D1307*20%</f>
        <v>3.97</v>
      </c>
      <c r="F1307" s="164">
        <f>D1307+E1307</f>
        <v>23.8</v>
      </c>
      <c r="EH1307" s="3"/>
      <c r="GS1307" s="2"/>
      <c r="GT1307" s="4"/>
      <c r="GU1307" s="4"/>
      <c r="GV1307" s="4"/>
      <c r="GW1307" s="4"/>
      <c r="GX1307" s="4"/>
      <c r="GY1307" s="4"/>
      <c r="GZ1307" s="4"/>
      <c r="HA1307" s="4"/>
      <c r="HF1307" s="243"/>
      <c r="HG1307" s="209"/>
      <c r="IU1307" s="162">
        <v>16.71</v>
      </c>
      <c r="IV1307" s="198">
        <f>16.71*1.045</f>
        <v>17.46</v>
      </c>
    </row>
    <row r="1308" spans="1:256" ht="184.5" customHeight="1" x14ac:dyDescent="0.2">
      <c r="A1308" s="178" t="s">
        <v>32</v>
      </c>
      <c r="B1308" s="285" t="s">
        <v>1870</v>
      </c>
      <c r="C1308" s="277" t="s">
        <v>1582</v>
      </c>
      <c r="D1308" s="295">
        <f>60.38*1.04*1.05</f>
        <v>65.930000000000007</v>
      </c>
      <c r="E1308" s="16">
        <f>D1308*20%</f>
        <v>13.19</v>
      </c>
      <c r="F1308" s="164">
        <f>D1308+E1308</f>
        <v>79.12</v>
      </c>
      <c r="EH1308" s="3"/>
      <c r="GS1308" s="2"/>
      <c r="GT1308" s="4"/>
      <c r="GU1308" s="4"/>
      <c r="GV1308" s="4"/>
      <c r="GW1308" s="4"/>
      <c r="GX1308" s="4"/>
      <c r="GY1308" s="4"/>
      <c r="GZ1308" s="4"/>
      <c r="HA1308" s="4"/>
      <c r="HF1308" s="243"/>
      <c r="HG1308" s="209"/>
      <c r="IU1308" s="162">
        <v>55.56</v>
      </c>
      <c r="IV1308" s="198">
        <f>55.56*1.045</f>
        <v>58.06</v>
      </c>
    </row>
    <row r="1309" spans="1:256" ht="35.25" customHeight="1" x14ac:dyDescent="0.2">
      <c r="A1309" s="312" t="s">
        <v>1871</v>
      </c>
      <c r="B1309" s="312"/>
      <c r="C1309" s="312"/>
      <c r="D1309" s="312"/>
      <c r="E1309" s="312"/>
      <c r="F1309" s="312"/>
      <c r="EH1309" s="3"/>
      <c r="GS1309" s="2"/>
      <c r="GT1309" s="4"/>
      <c r="GU1309" s="4"/>
      <c r="GV1309" s="4"/>
      <c r="GW1309" s="4"/>
      <c r="GX1309" s="4"/>
      <c r="GY1309" s="4"/>
      <c r="GZ1309" s="4"/>
      <c r="HA1309" s="4"/>
      <c r="HG1309" s="209"/>
    </row>
    <row r="1310" spans="1:256" ht="15.75" customHeight="1" x14ac:dyDescent="0.2">
      <c r="A1310" s="178" t="s">
        <v>11</v>
      </c>
      <c r="B1310" s="313" t="s">
        <v>1583</v>
      </c>
      <c r="C1310" s="313"/>
      <c r="D1310" s="313"/>
      <c r="E1310" s="313"/>
      <c r="F1310" s="313"/>
      <c r="EH1310" s="3"/>
      <c r="GS1310" s="2"/>
      <c r="GT1310" s="4"/>
      <c r="GU1310" s="4"/>
      <c r="GV1310" s="4"/>
      <c r="GW1310" s="4"/>
      <c r="GX1310" s="4"/>
      <c r="GY1310" s="4"/>
      <c r="GZ1310" s="4"/>
      <c r="HA1310" s="4"/>
      <c r="HG1310" s="209"/>
    </row>
    <row r="1311" spans="1:256" ht="15.75" x14ac:dyDescent="0.2">
      <c r="A1311" s="288" t="s">
        <v>200</v>
      </c>
      <c r="B1311" s="285" t="s">
        <v>1584</v>
      </c>
      <c r="C1311" s="277" t="s">
        <v>1585</v>
      </c>
      <c r="D1311" s="295">
        <f>22.67*1.04*1.05</f>
        <v>24.76</v>
      </c>
      <c r="E1311" s="16">
        <f t="shared" ref="E1311:E1318" si="131">D1311*20%</f>
        <v>4.95</v>
      </c>
      <c r="F1311" s="164">
        <f t="shared" ref="F1311:F1318" si="132">D1311+E1311</f>
        <v>29.71</v>
      </c>
      <c r="EH1311" s="3"/>
      <c r="GS1311" s="2"/>
      <c r="GT1311" s="4"/>
      <c r="GU1311" s="4"/>
      <c r="GV1311" s="4"/>
      <c r="GW1311" s="4"/>
      <c r="GX1311" s="4"/>
      <c r="GY1311" s="4"/>
      <c r="GZ1311" s="4"/>
      <c r="HA1311" s="4"/>
      <c r="HF1311" s="243"/>
      <c r="HG1311" s="209"/>
      <c r="IU1311" s="162">
        <v>20.86</v>
      </c>
      <c r="IV1311" s="198">
        <f>20.86*1.045</f>
        <v>21.8</v>
      </c>
    </row>
    <row r="1312" spans="1:256" ht="31.5" x14ac:dyDescent="0.2">
      <c r="A1312" s="288" t="s">
        <v>204</v>
      </c>
      <c r="B1312" s="285" t="s">
        <v>1586</v>
      </c>
      <c r="C1312" s="277" t="s">
        <v>1585</v>
      </c>
      <c r="D1312" s="295">
        <f>19.82*1.04*1.05</f>
        <v>21.64</v>
      </c>
      <c r="E1312" s="16">
        <f t="shared" si="131"/>
        <v>4.33</v>
      </c>
      <c r="F1312" s="164">
        <f>D1312+E1312</f>
        <v>25.97</v>
      </c>
      <c r="EH1312" s="3"/>
      <c r="GS1312" s="2"/>
      <c r="GT1312" s="4"/>
      <c r="GU1312" s="4"/>
      <c r="GV1312" s="4"/>
      <c r="GW1312" s="4"/>
      <c r="GX1312" s="4"/>
      <c r="GY1312" s="4"/>
      <c r="GZ1312" s="4"/>
      <c r="HA1312" s="4"/>
      <c r="HF1312" s="243"/>
      <c r="HG1312" s="209"/>
      <c r="IU1312" s="162">
        <v>18.239999999999998</v>
      </c>
      <c r="IV1312" s="198">
        <f>18.24*1.045</f>
        <v>19.059999999999999</v>
      </c>
    </row>
    <row r="1313" spans="1:256" ht="15.75" x14ac:dyDescent="0.2">
      <c r="A1313" s="288" t="s">
        <v>527</v>
      </c>
      <c r="B1313" s="285" t="s">
        <v>1587</v>
      </c>
      <c r="C1313" s="277" t="s">
        <v>1588</v>
      </c>
      <c r="D1313" s="295">
        <f>0.78*1.04*1.05</f>
        <v>0.85</v>
      </c>
      <c r="E1313" s="16">
        <f t="shared" si="131"/>
        <v>0.17</v>
      </c>
      <c r="F1313" s="164">
        <f t="shared" si="132"/>
        <v>1.02</v>
      </c>
      <c r="EH1313" s="252" t="s">
        <v>1589</v>
      </c>
      <c r="GS1313" s="77"/>
      <c r="GT1313" s="4"/>
      <c r="GU1313" s="4"/>
      <c r="GV1313" s="4"/>
      <c r="GW1313" s="4"/>
      <c r="GX1313" s="4"/>
      <c r="GY1313" s="4"/>
      <c r="GZ1313" s="4"/>
      <c r="HA1313" s="4"/>
      <c r="HF1313" s="243"/>
      <c r="HG1313" s="209"/>
      <c r="IU1313" s="162">
        <v>7.0000000000000007E-2</v>
      </c>
      <c r="IV1313" s="198">
        <f>0.1*1.045</f>
        <v>0.1</v>
      </c>
    </row>
    <row r="1314" spans="1:256" ht="15.75" customHeight="1" x14ac:dyDescent="0.2">
      <c r="A1314" s="288" t="s">
        <v>529</v>
      </c>
      <c r="B1314" s="285" t="s">
        <v>1590</v>
      </c>
      <c r="C1314" s="277" t="s">
        <v>1527</v>
      </c>
      <c r="D1314" s="295">
        <f>1.44*1.04*1.05</f>
        <v>1.57</v>
      </c>
      <c r="E1314" s="16">
        <f t="shared" si="131"/>
        <v>0.31</v>
      </c>
      <c r="F1314" s="164">
        <f t="shared" si="132"/>
        <v>1.88</v>
      </c>
      <c r="EH1314" s="3"/>
      <c r="GS1314" s="2"/>
      <c r="GT1314" s="4"/>
      <c r="GU1314" s="4"/>
      <c r="GV1314" s="4"/>
      <c r="GW1314" s="4"/>
      <c r="GX1314" s="4"/>
      <c r="GY1314" s="4"/>
      <c r="GZ1314" s="4"/>
      <c r="HA1314" s="4"/>
      <c r="HF1314" s="243"/>
      <c r="HG1314" s="209"/>
      <c r="IU1314" s="162">
        <v>1.32</v>
      </c>
      <c r="IV1314" s="198">
        <f>1.32*1.045</f>
        <v>1.38</v>
      </c>
    </row>
    <row r="1315" spans="1:256" ht="15.75" x14ac:dyDescent="0.2">
      <c r="A1315" s="288" t="s">
        <v>531</v>
      </c>
      <c r="B1315" s="285" t="s">
        <v>1591</v>
      </c>
      <c r="C1315" s="277" t="s">
        <v>1592</v>
      </c>
      <c r="D1315" s="295">
        <f>0.96*1.04*1.05</f>
        <v>1.05</v>
      </c>
      <c r="E1315" s="16">
        <f t="shared" si="131"/>
        <v>0.21</v>
      </c>
      <c r="F1315" s="164">
        <f t="shared" si="132"/>
        <v>1.26</v>
      </c>
      <c r="EH1315" s="3"/>
      <c r="GS1315" s="2"/>
      <c r="GT1315" s="4"/>
      <c r="GU1315" s="4"/>
      <c r="GV1315" s="4"/>
      <c r="GW1315" s="4"/>
      <c r="GX1315" s="4"/>
      <c r="GY1315" s="4"/>
      <c r="GZ1315" s="4"/>
      <c r="HA1315" s="4"/>
      <c r="HF1315" s="243"/>
      <c r="HG1315" s="209"/>
      <c r="IU1315" s="162">
        <v>0.88</v>
      </c>
      <c r="IV1315" s="198">
        <f>0.88*1.045</f>
        <v>0.92</v>
      </c>
    </row>
    <row r="1316" spans="1:256" ht="15.75" x14ac:dyDescent="0.2">
      <c r="A1316" s="288" t="s">
        <v>533</v>
      </c>
      <c r="B1316" s="285" t="s">
        <v>1593</v>
      </c>
      <c r="C1316" s="277" t="s">
        <v>1592</v>
      </c>
      <c r="D1316" s="295">
        <f>0.78*1.04*1.05</f>
        <v>0.85</v>
      </c>
      <c r="E1316" s="16">
        <f t="shared" si="131"/>
        <v>0.17</v>
      </c>
      <c r="F1316" s="164">
        <f>D1316+E1316</f>
        <v>1.02</v>
      </c>
      <c r="EH1316" s="252" t="s">
        <v>1589</v>
      </c>
      <c r="GS1316" s="77"/>
      <c r="GT1316" s="4"/>
      <c r="GU1316" s="4"/>
      <c r="GV1316" s="4"/>
      <c r="GW1316" s="4"/>
      <c r="GX1316" s="4"/>
      <c r="GY1316" s="4"/>
      <c r="GZ1316" s="4"/>
      <c r="HA1316" s="4"/>
      <c r="HF1316" s="243"/>
      <c r="HG1316" s="209"/>
      <c r="IU1316" s="162">
        <v>0.08</v>
      </c>
      <c r="IV1316" s="198">
        <f>0.1*1.045</f>
        <v>0.1</v>
      </c>
    </row>
    <row r="1317" spans="1:256" ht="15.75" x14ac:dyDescent="0.2">
      <c r="A1317" s="288" t="s">
        <v>536</v>
      </c>
      <c r="B1317" s="285" t="s">
        <v>1594</v>
      </c>
      <c r="C1317" s="277" t="s">
        <v>1592</v>
      </c>
      <c r="D1317" s="295">
        <f>0.78*1.04*1.05</f>
        <v>0.85</v>
      </c>
      <c r="E1317" s="16">
        <f t="shared" si="131"/>
        <v>0.17</v>
      </c>
      <c r="F1317" s="164">
        <f>D1317+E1317</f>
        <v>1.02</v>
      </c>
      <c r="EH1317" s="252" t="s">
        <v>1589</v>
      </c>
      <c r="GS1317" s="77"/>
      <c r="GT1317" s="4"/>
      <c r="GU1317" s="4"/>
      <c r="GV1317" s="4"/>
      <c r="GW1317" s="4"/>
      <c r="GX1317" s="4"/>
      <c r="GY1317" s="4"/>
      <c r="GZ1317" s="4"/>
      <c r="HA1317" s="4"/>
      <c r="HF1317" s="243"/>
      <c r="HG1317" s="209"/>
      <c r="IU1317" s="162">
        <v>0.08</v>
      </c>
      <c r="IV1317" s="198">
        <f>0.1*1.045</f>
        <v>0.1</v>
      </c>
    </row>
    <row r="1318" spans="1:256" ht="25.5" customHeight="1" x14ac:dyDescent="0.2">
      <c r="A1318" s="288" t="s">
        <v>538</v>
      </c>
      <c r="B1318" s="285" t="s">
        <v>1595</v>
      </c>
      <c r="C1318" s="277" t="s">
        <v>1527</v>
      </c>
      <c r="D1318" s="295">
        <f>1.44*1.04*1.05</f>
        <v>1.57</v>
      </c>
      <c r="E1318" s="16">
        <f t="shared" si="131"/>
        <v>0.31</v>
      </c>
      <c r="F1318" s="164">
        <f t="shared" si="132"/>
        <v>1.88</v>
      </c>
      <c r="EH1318" s="3"/>
      <c r="GS1318" s="2"/>
      <c r="GT1318" s="4"/>
      <c r="GU1318" s="4"/>
      <c r="GV1318" s="4"/>
      <c r="GW1318" s="4"/>
      <c r="GX1318" s="4"/>
      <c r="GY1318" s="4"/>
      <c r="GZ1318" s="4"/>
      <c r="HA1318" s="4"/>
      <c r="HF1318" s="243"/>
      <c r="HG1318" s="209"/>
      <c r="IU1318" s="162">
        <v>1.32</v>
      </c>
      <c r="IV1318" s="198">
        <f>1.32*1.045</f>
        <v>1.38</v>
      </c>
    </row>
    <row r="1319" spans="1:256" ht="21" customHeight="1" x14ac:dyDescent="0.2">
      <c r="A1319" s="288" t="s">
        <v>540</v>
      </c>
      <c r="B1319" s="313" t="s">
        <v>1596</v>
      </c>
      <c r="C1319" s="313"/>
      <c r="D1319" s="313"/>
      <c r="E1319" s="313"/>
      <c r="F1319" s="313"/>
      <c r="EH1319" s="3"/>
      <c r="GS1319" s="2"/>
      <c r="GT1319" s="4"/>
      <c r="GU1319" s="4"/>
      <c r="GV1319" s="4"/>
      <c r="GW1319" s="4"/>
      <c r="GX1319" s="4"/>
      <c r="GY1319" s="4"/>
      <c r="GZ1319" s="4"/>
      <c r="HA1319" s="4"/>
      <c r="HG1319" s="209"/>
    </row>
    <row r="1320" spans="1:256" ht="15.75" x14ac:dyDescent="0.2">
      <c r="A1320" s="288" t="s">
        <v>1597</v>
      </c>
      <c r="B1320" s="166" t="s">
        <v>1598</v>
      </c>
      <c r="C1320" s="277" t="s">
        <v>1599</v>
      </c>
      <c r="D1320" s="295">
        <f>1.44*1.04*1.05</f>
        <v>1.57</v>
      </c>
      <c r="E1320" s="16">
        <f>D1320*20%</f>
        <v>0.31</v>
      </c>
      <c r="F1320" s="164">
        <f>D1320+E1320</f>
        <v>1.88</v>
      </c>
      <c r="EH1320" s="3"/>
      <c r="GS1320" s="2"/>
      <c r="GT1320" s="4"/>
      <c r="GU1320" s="4"/>
      <c r="GV1320" s="4"/>
      <c r="GW1320" s="4"/>
      <c r="GX1320" s="4"/>
      <c r="GY1320" s="4"/>
      <c r="GZ1320" s="4"/>
      <c r="HA1320" s="4"/>
      <c r="HF1320" s="243"/>
      <c r="HG1320" s="209"/>
      <c r="IU1320" s="162">
        <v>1.32</v>
      </c>
      <c r="IV1320" s="198">
        <f>1.32*1.045</f>
        <v>1.38</v>
      </c>
    </row>
    <row r="1321" spans="1:256" ht="15.75" x14ac:dyDescent="0.2">
      <c r="A1321" s="288" t="s">
        <v>1600</v>
      </c>
      <c r="B1321" s="166" t="s">
        <v>1601</v>
      </c>
      <c r="C1321" s="277" t="s">
        <v>1599</v>
      </c>
      <c r="D1321" s="295">
        <f>2.87*1.04*1.05</f>
        <v>3.13</v>
      </c>
      <c r="E1321" s="16">
        <f>D1321*20%</f>
        <v>0.63</v>
      </c>
      <c r="F1321" s="164">
        <f>D1321+E1321</f>
        <v>3.76</v>
      </c>
      <c r="EH1321" s="3"/>
      <c r="GS1321" s="2"/>
      <c r="GT1321" s="4"/>
      <c r="GU1321" s="4"/>
      <c r="GV1321" s="4"/>
      <c r="GW1321" s="4"/>
      <c r="GX1321" s="4"/>
      <c r="GY1321" s="4"/>
      <c r="GZ1321" s="4"/>
      <c r="HA1321" s="4"/>
      <c r="HF1321" s="243"/>
      <c r="HG1321" s="209"/>
      <c r="IU1321" s="162">
        <v>2.64</v>
      </c>
      <c r="IV1321" s="198">
        <f>2.64*1.045</f>
        <v>2.76</v>
      </c>
    </row>
    <row r="1322" spans="1:256" ht="15.75" x14ac:dyDescent="0.2">
      <c r="A1322" s="288" t="s">
        <v>1602</v>
      </c>
      <c r="B1322" s="166" t="s">
        <v>1603</v>
      </c>
      <c r="C1322" s="277" t="s">
        <v>1599</v>
      </c>
      <c r="D1322" s="295">
        <f>5.74*1.04*1.05</f>
        <v>6.27</v>
      </c>
      <c r="E1322" s="16">
        <f>D1322*20%</f>
        <v>1.25</v>
      </c>
      <c r="F1322" s="164">
        <f>D1322+E1322</f>
        <v>7.52</v>
      </c>
      <c r="EH1322" s="3"/>
      <c r="GS1322" s="2"/>
      <c r="GT1322" s="4"/>
      <c r="GU1322" s="4"/>
      <c r="GV1322" s="4"/>
      <c r="GW1322" s="4"/>
      <c r="GX1322" s="4"/>
      <c r="GY1322" s="4"/>
      <c r="GZ1322" s="4"/>
      <c r="HA1322" s="4"/>
      <c r="HF1322" s="243"/>
      <c r="HG1322" s="209"/>
      <c r="IU1322" s="162">
        <v>5.28</v>
      </c>
      <c r="IV1322" s="198">
        <f>5.28*1.045</f>
        <v>5.52</v>
      </c>
    </row>
    <row r="1323" spans="1:256" ht="23.25" customHeight="1" x14ac:dyDescent="0.2">
      <c r="A1323" s="178" t="s">
        <v>23</v>
      </c>
      <c r="B1323" s="325" t="s">
        <v>1604</v>
      </c>
      <c r="C1323" s="325"/>
      <c r="D1323" s="325"/>
      <c r="E1323" s="325"/>
      <c r="F1323" s="325"/>
      <c r="EH1323" s="3"/>
      <c r="GS1323" s="2"/>
      <c r="GT1323" s="4"/>
      <c r="GU1323" s="4"/>
      <c r="GV1323" s="4"/>
      <c r="GW1323" s="4"/>
      <c r="GX1323" s="4"/>
      <c r="GY1323" s="4"/>
      <c r="GZ1323" s="4"/>
      <c r="HA1323" s="4"/>
      <c r="HG1323" s="209"/>
    </row>
    <row r="1324" spans="1:256" ht="19.5" customHeight="1" x14ac:dyDescent="0.2">
      <c r="A1324" s="288" t="s">
        <v>569</v>
      </c>
      <c r="B1324" s="285" t="s">
        <v>1584</v>
      </c>
      <c r="C1324" s="277" t="s">
        <v>1605</v>
      </c>
      <c r="D1324" s="295">
        <f>47.51*1.04*1.05</f>
        <v>51.88</v>
      </c>
      <c r="E1324" s="16">
        <f t="shared" ref="E1324:E1329" si="133">D1324*20%</f>
        <v>10.38</v>
      </c>
      <c r="F1324" s="164">
        <f t="shared" ref="F1324:F1329" si="134">D1324+E1324</f>
        <v>62.26</v>
      </c>
      <c r="EH1324" s="3"/>
      <c r="GS1324" s="2"/>
      <c r="GT1324" s="4"/>
      <c r="GU1324" s="4"/>
      <c r="GV1324" s="4"/>
      <c r="GW1324" s="4"/>
      <c r="GX1324" s="4"/>
      <c r="GY1324" s="4"/>
      <c r="GZ1324" s="4"/>
      <c r="HA1324" s="4"/>
      <c r="HF1324" s="243"/>
      <c r="HG1324" s="209"/>
      <c r="IU1324" s="162">
        <v>43.71</v>
      </c>
      <c r="IV1324" s="198">
        <f>43.71*1.045</f>
        <v>45.68</v>
      </c>
    </row>
    <row r="1325" spans="1:256" ht="26.25" customHeight="1" x14ac:dyDescent="0.2">
      <c r="A1325" s="288" t="s">
        <v>571</v>
      </c>
      <c r="B1325" s="285" t="s">
        <v>1586</v>
      </c>
      <c r="C1325" s="277" t="s">
        <v>1605</v>
      </c>
      <c r="D1325" s="295">
        <f>35.56*1.04*1.05</f>
        <v>38.83</v>
      </c>
      <c r="E1325" s="16">
        <f t="shared" si="133"/>
        <v>7.77</v>
      </c>
      <c r="F1325" s="164">
        <f>D1325+E1325</f>
        <v>46.6</v>
      </c>
      <c r="EH1325" s="3"/>
      <c r="GS1325" s="2"/>
      <c r="GT1325" s="4"/>
      <c r="GU1325" s="4"/>
      <c r="GV1325" s="4"/>
      <c r="GW1325" s="4"/>
      <c r="GX1325" s="4"/>
      <c r="GY1325" s="4"/>
      <c r="GZ1325" s="4"/>
      <c r="HA1325" s="4"/>
      <c r="HF1325" s="243"/>
      <c r="HG1325" s="209"/>
      <c r="IU1325" s="162">
        <v>32.72</v>
      </c>
      <c r="IV1325" s="198">
        <f>32.72*1.045</f>
        <v>34.19</v>
      </c>
    </row>
    <row r="1326" spans="1:256" ht="22.5" customHeight="1" x14ac:dyDescent="0.2">
      <c r="A1326" s="288" t="s">
        <v>573</v>
      </c>
      <c r="B1326" s="285" t="s">
        <v>1587</v>
      </c>
      <c r="C1326" s="277" t="s">
        <v>1606</v>
      </c>
      <c r="D1326" s="295">
        <f>1.04*1.04*1.05</f>
        <v>1.1399999999999999</v>
      </c>
      <c r="E1326" s="16">
        <f t="shared" si="133"/>
        <v>0.23</v>
      </c>
      <c r="F1326" s="164">
        <f t="shared" si="134"/>
        <v>1.37</v>
      </c>
      <c r="EH1326" s="252" t="s">
        <v>1607</v>
      </c>
      <c r="GS1326" s="77"/>
      <c r="GT1326" s="4"/>
      <c r="GU1326" s="4"/>
      <c r="GV1326" s="4"/>
      <c r="GW1326" s="4"/>
      <c r="GX1326" s="4"/>
      <c r="GY1326" s="4"/>
      <c r="GZ1326" s="4"/>
      <c r="HA1326" s="4"/>
      <c r="HF1326" s="243"/>
      <c r="HG1326" s="209"/>
      <c r="IU1326" s="162">
        <v>0.28999999999999998</v>
      </c>
      <c r="IV1326" s="198">
        <f>0.29*1.045</f>
        <v>0.3</v>
      </c>
    </row>
    <row r="1327" spans="1:256" ht="18" customHeight="1" x14ac:dyDescent="0.2">
      <c r="A1327" s="288" t="s">
        <v>575</v>
      </c>
      <c r="B1327" s="285" t="s">
        <v>1608</v>
      </c>
      <c r="C1327" s="277" t="s">
        <v>1609</v>
      </c>
      <c r="D1327" s="295">
        <f>1.99*1.04*1.05</f>
        <v>2.17</v>
      </c>
      <c r="E1327" s="16">
        <f t="shared" si="133"/>
        <v>0.43</v>
      </c>
      <c r="F1327" s="164">
        <f t="shared" si="134"/>
        <v>2.6</v>
      </c>
      <c r="EH1327" s="3"/>
      <c r="GS1327" s="2"/>
      <c r="GT1327" s="4"/>
      <c r="GU1327" s="4"/>
      <c r="GV1327" s="4"/>
      <c r="GW1327" s="4"/>
      <c r="GX1327" s="4"/>
      <c r="GY1327" s="4"/>
      <c r="GZ1327" s="4"/>
      <c r="HA1327" s="4"/>
      <c r="HF1327" s="243"/>
      <c r="HG1327" s="209"/>
      <c r="IU1327" s="162">
        <v>1.83</v>
      </c>
      <c r="IV1327" s="198">
        <f>1.83*1.045</f>
        <v>1.91</v>
      </c>
    </row>
    <row r="1328" spans="1:256" ht="17.25" customHeight="1" x14ac:dyDescent="0.2">
      <c r="A1328" s="288" t="s">
        <v>577</v>
      </c>
      <c r="B1328" s="285" t="s">
        <v>1610</v>
      </c>
      <c r="C1328" s="277" t="s">
        <v>1609</v>
      </c>
      <c r="D1328" s="295">
        <f>1.44*1.04*1.05</f>
        <v>1.57</v>
      </c>
      <c r="E1328" s="16">
        <f t="shared" si="133"/>
        <v>0.31</v>
      </c>
      <c r="F1328" s="164">
        <f t="shared" si="134"/>
        <v>1.88</v>
      </c>
      <c r="EH1328" s="3"/>
      <c r="GS1328" s="2"/>
      <c r="GT1328" s="4"/>
      <c r="GU1328" s="4"/>
      <c r="GV1328" s="4"/>
      <c r="GW1328" s="4"/>
      <c r="GX1328" s="4"/>
      <c r="GY1328" s="4"/>
      <c r="GZ1328" s="4"/>
      <c r="HA1328" s="4"/>
      <c r="HF1328" s="243"/>
      <c r="HG1328" s="209"/>
      <c r="IU1328" s="162">
        <v>1.32</v>
      </c>
      <c r="IV1328" s="198">
        <f>1.32*1.045</f>
        <v>1.38</v>
      </c>
    </row>
    <row r="1329" spans="1:256" ht="18.75" customHeight="1" x14ac:dyDescent="0.2">
      <c r="A1329" s="288" t="s">
        <v>579</v>
      </c>
      <c r="B1329" s="285" t="s">
        <v>1611</v>
      </c>
      <c r="C1329" s="277" t="s">
        <v>1612</v>
      </c>
      <c r="D1329" s="295">
        <f>132.83*1.04*1.05</f>
        <v>145.05000000000001</v>
      </c>
      <c r="E1329" s="16">
        <f t="shared" si="133"/>
        <v>29.01</v>
      </c>
      <c r="F1329" s="164">
        <f t="shared" si="134"/>
        <v>174.06</v>
      </c>
      <c r="EH1329" s="3"/>
      <c r="GS1329" s="2"/>
      <c r="GT1329" s="4"/>
      <c r="GU1329" s="4"/>
      <c r="GV1329" s="4"/>
      <c r="GW1329" s="4"/>
      <c r="GX1329" s="4"/>
      <c r="GY1329" s="4"/>
      <c r="GZ1329" s="4"/>
      <c r="HA1329" s="4"/>
      <c r="HF1329" s="243"/>
      <c r="HG1329" s="209"/>
      <c r="IU1329" s="162">
        <v>122.22</v>
      </c>
      <c r="IV1329" s="198">
        <f>122.22*1.045</f>
        <v>127.72</v>
      </c>
    </row>
    <row r="1330" spans="1:256" ht="23.25" customHeight="1" x14ac:dyDescent="0.2">
      <c r="A1330" s="178" t="s">
        <v>26</v>
      </c>
      <c r="B1330" s="313" t="s">
        <v>1613</v>
      </c>
      <c r="C1330" s="313"/>
      <c r="D1330" s="313"/>
      <c r="E1330" s="313"/>
      <c r="F1330" s="313"/>
      <c r="EH1330" s="3"/>
      <c r="GS1330" s="2"/>
      <c r="GT1330" s="4"/>
      <c r="GU1330" s="4"/>
      <c r="GV1330" s="4"/>
      <c r="GW1330" s="4"/>
      <c r="GX1330" s="4"/>
      <c r="GY1330" s="4"/>
      <c r="GZ1330" s="4"/>
      <c r="HA1330" s="4"/>
      <c r="HG1330" s="209"/>
    </row>
    <row r="1331" spans="1:256" ht="38.25" customHeight="1" x14ac:dyDescent="0.2">
      <c r="A1331" s="288" t="s">
        <v>584</v>
      </c>
      <c r="B1331" s="285" t="s">
        <v>1614</v>
      </c>
      <c r="C1331" s="277" t="s">
        <v>1605</v>
      </c>
      <c r="D1331" s="295">
        <f>23.15*1.04*1.05</f>
        <v>25.28</v>
      </c>
      <c r="E1331" s="16">
        <f>D1331*20%</f>
        <v>5.0599999999999996</v>
      </c>
      <c r="F1331" s="164">
        <f>D1331+E1331</f>
        <v>30.34</v>
      </c>
      <c r="EH1331" s="3"/>
      <c r="GS1331" s="2"/>
      <c r="GT1331" s="4"/>
      <c r="GU1331" s="4"/>
      <c r="GV1331" s="4"/>
      <c r="GW1331" s="4"/>
      <c r="GX1331" s="4"/>
      <c r="GY1331" s="4"/>
      <c r="GZ1331" s="4"/>
      <c r="HA1331" s="4"/>
      <c r="HF1331" s="243"/>
      <c r="HG1331" s="209"/>
      <c r="IU1331" s="162">
        <v>21.3</v>
      </c>
      <c r="IV1331" s="198">
        <f>21.3*1.045</f>
        <v>22.26</v>
      </c>
    </row>
    <row r="1332" spans="1:256" ht="21" customHeight="1" x14ac:dyDescent="0.2">
      <c r="A1332" s="288" t="s">
        <v>586</v>
      </c>
      <c r="B1332" s="285" t="s">
        <v>1587</v>
      </c>
      <c r="C1332" s="277" t="s">
        <v>1606</v>
      </c>
      <c r="D1332" s="295">
        <f>0.15*1.04*1.05</f>
        <v>0.16</v>
      </c>
      <c r="E1332" s="16">
        <f>D1332*20%</f>
        <v>0.03</v>
      </c>
      <c r="F1332" s="164">
        <f>D1332+E1332</f>
        <v>0.19</v>
      </c>
      <c r="EH1332" s="3"/>
      <c r="GS1332" s="2"/>
      <c r="GT1332" s="4"/>
      <c r="GU1332" s="4"/>
      <c r="GV1332" s="4"/>
      <c r="GW1332" s="4"/>
      <c r="GX1332" s="4"/>
      <c r="GY1332" s="4"/>
      <c r="GZ1332" s="4"/>
      <c r="HA1332" s="4"/>
      <c r="HF1332" s="243"/>
      <c r="HG1332" s="209"/>
      <c r="IU1332" s="162">
        <v>0.13</v>
      </c>
      <c r="IV1332" s="198">
        <f>0.13*1.045</f>
        <v>0.14000000000000001</v>
      </c>
    </row>
    <row r="1333" spans="1:256" ht="41.25" customHeight="1" x14ac:dyDescent="0.2">
      <c r="A1333" s="288" t="s">
        <v>588</v>
      </c>
      <c r="B1333" s="285" t="s">
        <v>1615</v>
      </c>
      <c r="C1333" s="277" t="s">
        <v>1605</v>
      </c>
      <c r="D1333" s="295">
        <f>89.51*1.04*1.05</f>
        <v>97.74</v>
      </c>
      <c r="E1333" s="16">
        <f>D1333*20%</f>
        <v>19.55</v>
      </c>
      <c r="F1333" s="164">
        <f>D1333+E1333</f>
        <v>117.29</v>
      </c>
      <c r="EH1333" s="3"/>
      <c r="GS1333" s="2"/>
      <c r="GT1333" s="4"/>
      <c r="GU1333" s="4"/>
      <c r="GV1333" s="4"/>
      <c r="GW1333" s="4"/>
      <c r="GX1333" s="4"/>
      <c r="GY1333" s="4"/>
      <c r="GZ1333" s="4"/>
      <c r="HA1333" s="4"/>
      <c r="HF1333" s="243"/>
      <c r="HG1333" s="209"/>
      <c r="IU1333" s="162">
        <v>82.36</v>
      </c>
      <c r="IV1333" s="198">
        <f>82.36*1.045</f>
        <v>86.07</v>
      </c>
    </row>
    <row r="1334" spans="1:256" ht="66" customHeight="1" x14ac:dyDescent="0.2">
      <c r="A1334" s="178" t="s">
        <v>28</v>
      </c>
      <c r="B1334" s="279" t="s">
        <v>1616</v>
      </c>
      <c r="C1334" s="277" t="s">
        <v>1605</v>
      </c>
      <c r="D1334" s="295">
        <f>37.95*1.04*1.05</f>
        <v>41.44</v>
      </c>
      <c r="E1334" s="16">
        <f>D1334*20%</f>
        <v>8.2899999999999991</v>
      </c>
      <c r="F1334" s="164">
        <f>D1334+E1334</f>
        <v>49.73</v>
      </c>
      <c r="EH1334" s="3"/>
      <c r="GS1334" s="2"/>
      <c r="GT1334" s="4"/>
      <c r="GU1334" s="4"/>
      <c r="GV1334" s="4"/>
      <c r="GW1334" s="4"/>
      <c r="GX1334" s="4"/>
      <c r="GY1334" s="4"/>
      <c r="GZ1334" s="4"/>
      <c r="HA1334" s="4"/>
      <c r="HF1334" s="243"/>
      <c r="HG1334" s="209"/>
      <c r="IU1334" s="162">
        <v>34.92</v>
      </c>
      <c r="IV1334" s="198">
        <f>34.92*1.045</f>
        <v>36.49</v>
      </c>
    </row>
    <row r="1335" spans="1:256" ht="16.5" customHeight="1" x14ac:dyDescent="0.2">
      <c r="A1335" s="178" t="s">
        <v>30</v>
      </c>
      <c r="B1335" s="313" t="s">
        <v>1617</v>
      </c>
      <c r="C1335" s="313"/>
      <c r="D1335" s="313"/>
      <c r="E1335" s="313"/>
      <c r="F1335" s="313"/>
      <c r="EH1335" s="3"/>
      <c r="GS1335" s="2"/>
      <c r="GT1335" s="4"/>
      <c r="GU1335" s="4"/>
      <c r="GV1335" s="4"/>
      <c r="GW1335" s="4"/>
      <c r="GX1335" s="4"/>
      <c r="GY1335" s="4"/>
      <c r="GZ1335" s="4"/>
      <c r="HA1335" s="4"/>
      <c r="HG1335" s="209"/>
    </row>
    <row r="1336" spans="1:256" ht="18" customHeight="1" x14ac:dyDescent="0.2">
      <c r="A1336" s="288" t="s">
        <v>645</v>
      </c>
      <c r="B1336" s="285" t="s">
        <v>1618</v>
      </c>
      <c r="C1336" s="277" t="s">
        <v>1605</v>
      </c>
      <c r="D1336" s="295">
        <f>5.01*1.04*1.05</f>
        <v>5.47</v>
      </c>
      <c r="E1336" s="16">
        <f>D1336*20%</f>
        <v>1.0900000000000001</v>
      </c>
      <c r="F1336" s="164">
        <f>D1336+E1336</f>
        <v>6.56</v>
      </c>
      <c r="EH1336" s="3"/>
      <c r="GS1336" s="2"/>
      <c r="GT1336" s="4"/>
      <c r="GU1336" s="4"/>
      <c r="GV1336" s="4"/>
      <c r="GW1336" s="4"/>
      <c r="GX1336" s="4"/>
      <c r="GY1336" s="4"/>
      <c r="GZ1336" s="4"/>
      <c r="HA1336" s="4"/>
      <c r="HF1336" s="243"/>
      <c r="HG1336" s="209"/>
      <c r="IU1336" s="162">
        <v>4.6100000000000003</v>
      </c>
      <c r="IV1336" s="198">
        <f>4.61*1.045</f>
        <v>4.82</v>
      </c>
    </row>
    <row r="1337" spans="1:256" ht="19.5" customHeight="1" x14ac:dyDescent="0.2">
      <c r="A1337" s="288" t="s">
        <v>646</v>
      </c>
      <c r="B1337" s="285" t="s">
        <v>1619</v>
      </c>
      <c r="C1337" s="277" t="s">
        <v>1605</v>
      </c>
      <c r="D1337" s="295">
        <f>2.87*1.04*1.05</f>
        <v>3.13</v>
      </c>
      <c r="E1337" s="16">
        <f>D1337*20%</f>
        <v>0.63</v>
      </c>
      <c r="F1337" s="164">
        <f>D1337+E1337</f>
        <v>3.76</v>
      </c>
      <c r="EH1337" s="3"/>
      <c r="GS1337" s="2"/>
      <c r="GT1337" s="4"/>
      <c r="GU1337" s="4"/>
      <c r="GV1337" s="4"/>
      <c r="GW1337" s="4"/>
      <c r="GX1337" s="4"/>
      <c r="GY1337" s="4"/>
      <c r="GZ1337" s="4"/>
      <c r="HA1337" s="4"/>
      <c r="HF1337" s="243"/>
      <c r="HG1337" s="209"/>
      <c r="IU1337" s="162">
        <v>2.64</v>
      </c>
      <c r="IV1337" s="198">
        <f>2.64*1.045</f>
        <v>2.76</v>
      </c>
    </row>
    <row r="1338" spans="1:256" ht="18" customHeight="1" x14ac:dyDescent="0.2">
      <c r="A1338" s="288" t="s">
        <v>647</v>
      </c>
      <c r="B1338" s="285" t="s">
        <v>1620</v>
      </c>
      <c r="C1338" s="277" t="s">
        <v>1605</v>
      </c>
      <c r="D1338" s="295">
        <f>6.21*1.04*1.05</f>
        <v>6.78</v>
      </c>
      <c r="E1338" s="16">
        <f>D1338*20%</f>
        <v>1.36</v>
      </c>
      <c r="F1338" s="164">
        <f>D1338+E1338</f>
        <v>8.14</v>
      </c>
      <c r="EH1338" s="3"/>
      <c r="GS1338" s="2"/>
      <c r="GT1338" s="4"/>
      <c r="GU1338" s="4"/>
      <c r="GV1338" s="4"/>
      <c r="GW1338" s="4"/>
      <c r="GX1338" s="4"/>
      <c r="GY1338" s="4"/>
      <c r="GZ1338" s="4"/>
      <c r="HA1338" s="4"/>
      <c r="HF1338" s="243"/>
      <c r="HG1338" s="209"/>
      <c r="IU1338" s="162">
        <v>5.71</v>
      </c>
      <c r="IV1338" s="198">
        <f>5.71*1.045</f>
        <v>5.97</v>
      </c>
    </row>
    <row r="1339" spans="1:256" ht="23.25" customHeight="1" x14ac:dyDescent="0.2">
      <c r="A1339" s="288" t="s">
        <v>648</v>
      </c>
      <c r="B1339" s="285" t="s">
        <v>1621</v>
      </c>
      <c r="C1339" s="277" t="s">
        <v>1605</v>
      </c>
      <c r="D1339" s="295">
        <f>1.98*1.04*1.05</f>
        <v>2.16</v>
      </c>
      <c r="E1339" s="16">
        <f>D1339*20%</f>
        <v>0.43</v>
      </c>
      <c r="F1339" s="164">
        <f>D1339+E1339</f>
        <v>2.59</v>
      </c>
      <c r="EH1339" s="3"/>
      <c r="GS1339" s="2"/>
      <c r="GT1339" s="4"/>
      <c r="GU1339" s="4"/>
      <c r="GV1339" s="4"/>
      <c r="GW1339" s="4"/>
      <c r="GX1339" s="4"/>
      <c r="GY1339" s="4"/>
      <c r="GZ1339" s="4"/>
      <c r="HA1339" s="4"/>
      <c r="HF1339" s="243"/>
      <c r="HG1339" s="209"/>
      <c r="IU1339" s="162">
        <v>1.82</v>
      </c>
      <c r="IV1339" s="198">
        <f>1.82*1.045</f>
        <v>1.9</v>
      </c>
    </row>
    <row r="1340" spans="1:256" ht="22.5" customHeight="1" x14ac:dyDescent="0.2">
      <c r="A1340" s="288" t="s">
        <v>650</v>
      </c>
      <c r="B1340" s="285" t="s">
        <v>1622</v>
      </c>
      <c r="C1340" s="277" t="s">
        <v>1605</v>
      </c>
      <c r="D1340" s="295">
        <f>6.21*1.04*1.05</f>
        <v>6.78</v>
      </c>
      <c r="E1340" s="16">
        <f>D1340*20%</f>
        <v>1.36</v>
      </c>
      <c r="F1340" s="164">
        <f>D1340+E1340</f>
        <v>8.14</v>
      </c>
      <c r="EH1340" s="3"/>
      <c r="GS1340" s="2"/>
      <c r="GT1340" s="4"/>
      <c r="GU1340" s="4"/>
      <c r="GV1340" s="4"/>
      <c r="GW1340" s="4"/>
      <c r="GX1340" s="4"/>
      <c r="GY1340" s="4"/>
      <c r="GZ1340" s="4"/>
      <c r="HA1340" s="4"/>
      <c r="HF1340" s="243"/>
      <c r="HG1340" s="209"/>
      <c r="IU1340" s="162">
        <v>5.71</v>
      </c>
      <c r="IV1340" s="198">
        <f>5.71*1.045</f>
        <v>5.97</v>
      </c>
    </row>
    <row r="1341" spans="1:256" ht="36.75" customHeight="1" x14ac:dyDescent="0.2">
      <c r="A1341" s="178" t="s">
        <v>32</v>
      </c>
      <c r="B1341" s="313" t="s">
        <v>1623</v>
      </c>
      <c r="C1341" s="313"/>
      <c r="D1341" s="313"/>
      <c r="E1341" s="313"/>
      <c r="F1341" s="313"/>
      <c r="EH1341" s="3"/>
      <c r="GS1341" s="2"/>
      <c r="GT1341" s="4"/>
      <c r="GU1341" s="4"/>
      <c r="GV1341" s="4"/>
      <c r="GW1341" s="4"/>
      <c r="GX1341" s="4"/>
      <c r="GY1341" s="4"/>
      <c r="GZ1341" s="4"/>
      <c r="HA1341" s="4"/>
      <c r="HG1341" s="209"/>
    </row>
    <row r="1342" spans="1:256" ht="18" customHeight="1" x14ac:dyDescent="0.2">
      <c r="A1342" s="288" t="s">
        <v>263</v>
      </c>
      <c r="B1342" s="285" t="s">
        <v>1624</v>
      </c>
      <c r="C1342" s="277" t="s">
        <v>1605</v>
      </c>
      <c r="D1342" s="295">
        <f>31.28*1.04*1.05</f>
        <v>34.159999999999997</v>
      </c>
      <c r="E1342" s="16">
        <f t="shared" ref="E1342:E1348" si="135">D1342*20%</f>
        <v>6.83</v>
      </c>
      <c r="F1342" s="164">
        <f t="shared" ref="F1342:F1348" si="136">D1342+E1342</f>
        <v>40.99</v>
      </c>
      <c r="EH1342" s="3"/>
      <c r="GS1342" s="2"/>
      <c r="GT1342" s="4"/>
      <c r="GU1342" s="4"/>
      <c r="GV1342" s="4"/>
      <c r="GW1342" s="4"/>
      <c r="GX1342" s="4"/>
      <c r="GY1342" s="4"/>
      <c r="GZ1342" s="4"/>
      <c r="HA1342" s="4"/>
      <c r="HF1342" s="243"/>
      <c r="HG1342" s="209"/>
      <c r="IU1342" s="162">
        <v>28.78</v>
      </c>
      <c r="IV1342" s="198">
        <f>28.78*1.045</f>
        <v>30.08</v>
      </c>
    </row>
    <row r="1343" spans="1:256" ht="18" customHeight="1" x14ac:dyDescent="0.2">
      <c r="A1343" s="288" t="s">
        <v>265</v>
      </c>
      <c r="B1343" s="285" t="s">
        <v>1625</v>
      </c>
      <c r="C1343" s="277" t="s">
        <v>1605</v>
      </c>
      <c r="D1343" s="295">
        <f>25.3*1.04*1.05</f>
        <v>27.63</v>
      </c>
      <c r="E1343" s="16">
        <f t="shared" si="135"/>
        <v>5.53</v>
      </c>
      <c r="F1343" s="164">
        <f t="shared" si="136"/>
        <v>33.159999999999997</v>
      </c>
      <c r="EH1343" s="3"/>
      <c r="GS1343" s="2"/>
      <c r="GT1343" s="4"/>
      <c r="GU1343" s="4"/>
      <c r="GV1343" s="4"/>
      <c r="GW1343" s="4"/>
      <c r="GX1343" s="4"/>
      <c r="GY1343" s="4"/>
      <c r="GZ1343" s="4"/>
      <c r="HA1343" s="4"/>
      <c r="HF1343" s="243"/>
      <c r="HG1343" s="209"/>
      <c r="IU1343" s="162">
        <v>23.28</v>
      </c>
      <c r="IV1343" s="198">
        <f>23.28*1.045</f>
        <v>24.33</v>
      </c>
    </row>
    <row r="1344" spans="1:256" ht="48" customHeight="1" x14ac:dyDescent="0.2">
      <c r="A1344" s="288" t="s">
        <v>658</v>
      </c>
      <c r="B1344" s="285" t="s">
        <v>1626</v>
      </c>
      <c r="C1344" s="277" t="s">
        <v>1605</v>
      </c>
      <c r="D1344" s="295">
        <f>59.2*1.04*1.05</f>
        <v>64.650000000000006</v>
      </c>
      <c r="E1344" s="16">
        <f t="shared" si="135"/>
        <v>12.93</v>
      </c>
      <c r="F1344" s="164">
        <f t="shared" si="136"/>
        <v>77.58</v>
      </c>
      <c r="EH1344" s="3"/>
      <c r="GS1344" s="2"/>
      <c r="GT1344" s="4"/>
      <c r="GU1344" s="4"/>
      <c r="GV1344" s="4"/>
      <c r="GW1344" s="4"/>
      <c r="GX1344" s="4"/>
      <c r="GY1344" s="4"/>
      <c r="GZ1344" s="4"/>
      <c r="HA1344" s="4"/>
      <c r="HF1344" s="243"/>
      <c r="HG1344" s="209"/>
      <c r="IU1344" s="162">
        <v>54.47</v>
      </c>
      <c r="IV1344" s="198">
        <f>54.47*1.045</f>
        <v>56.92</v>
      </c>
    </row>
    <row r="1345" spans="1:256" ht="37.5" customHeight="1" x14ac:dyDescent="0.2">
      <c r="A1345" s="288" t="s">
        <v>659</v>
      </c>
      <c r="B1345" s="285" t="s">
        <v>1627</v>
      </c>
      <c r="C1345" s="277" t="s">
        <v>1605</v>
      </c>
      <c r="D1345" s="295">
        <f>42.01*1.04*1.05</f>
        <v>45.87</v>
      </c>
      <c r="E1345" s="16">
        <f t="shared" si="135"/>
        <v>9.17</v>
      </c>
      <c r="F1345" s="164">
        <f>D1345+E1345</f>
        <v>55.04</v>
      </c>
      <c r="EH1345" s="3"/>
      <c r="GS1345" s="2"/>
      <c r="GT1345" s="4"/>
      <c r="GU1345" s="4"/>
      <c r="GV1345" s="4"/>
      <c r="GW1345" s="4"/>
      <c r="GX1345" s="4"/>
      <c r="GY1345" s="4"/>
      <c r="GZ1345" s="4"/>
      <c r="HA1345" s="4"/>
      <c r="HF1345" s="243"/>
      <c r="HG1345" s="209"/>
      <c r="IU1345" s="162">
        <v>38.65</v>
      </c>
      <c r="IV1345" s="198">
        <f>38.65*1.045</f>
        <v>40.39</v>
      </c>
    </row>
    <row r="1346" spans="1:256" ht="48" customHeight="1" x14ac:dyDescent="0.2">
      <c r="A1346" s="288" t="s">
        <v>661</v>
      </c>
      <c r="B1346" s="165" t="s">
        <v>1628</v>
      </c>
      <c r="C1346" s="277" t="s">
        <v>1612</v>
      </c>
      <c r="D1346" s="295">
        <f>15.28*1.04*1.05</f>
        <v>16.690000000000001</v>
      </c>
      <c r="E1346" s="16">
        <f t="shared" si="135"/>
        <v>3.34</v>
      </c>
      <c r="F1346" s="164">
        <f t="shared" si="136"/>
        <v>20.03</v>
      </c>
      <c r="EH1346" s="3"/>
      <c r="GS1346" s="2"/>
      <c r="GT1346" s="4"/>
      <c r="GU1346" s="4"/>
      <c r="GV1346" s="4"/>
      <c r="GW1346" s="4"/>
      <c r="GX1346" s="4"/>
      <c r="GY1346" s="4"/>
      <c r="GZ1346" s="4"/>
      <c r="HA1346" s="4"/>
      <c r="HF1346" s="243"/>
      <c r="HG1346" s="209"/>
      <c r="IU1346" s="162">
        <v>14.06</v>
      </c>
      <c r="IV1346" s="198">
        <f>14.06*1.045</f>
        <v>14.69</v>
      </c>
    </row>
    <row r="1347" spans="1:256" ht="48" customHeight="1" x14ac:dyDescent="0.2">
      <c r="A1347" s="288" t="s">
        <v>663</v>
      </c>
      <c r="B1347" s="285" t="s">
        <v>1629</v>
      </c>
      <c r="C1347" s="277" t="s">
        <v>1605</v>
      </c>
      <c r="D1347" s="295">
        <f>39.38*1.04*1.05</f>
        <v>43</v>
      </c>
      <c r="E1347" s="16">
        <f t="shared" si="135"/>
        <v>8.6</v>
      </c>
      <c r="F1347" s="164">
        <f t="shared" si="136"/>
        <v>51.6</v>
      </c>
      <c r="EH1347" s="3"/>
      <c r="GS1347" s="2"/>
      <c r="GT1347" s="4"/>
      <c r="GU1347" s="4"/>
      <c r="GV1347" s="4"/>
      <c r="GW1347" s="4"/>
      <c r="GX1347" s="4"/>
      <c r="GY1347" s="4"/>
      <c r="GZ1347" s="4"/>
      <c r="HA1347" s="4"/>
      <c r="HF1347" s="243"/>
      <c r="HG1347" s="209"/>
      <c r="IU1347" s="162">
        <v>36.24</v>
      </c>
      <c r="IV1347" s="198">
        <f>36.24*1.045</f>
        <v>37.869999999999997</v>
      </c>
    </row>
    <row r="1348" spans="1:256" ht="32.25" customHeight="1" x14ac:dyDescent="0.2">
      <c r="A1348" s="178" t="s">
        <v>34</v>
      </c>
      <c r="B1348" s="279" t="s">
        <v>1630</v>
      </c>
      <c r="C1348" s="277" t="s">
        <v>1076</v>
      </c>
      <c r="D1348" s="295">
        <f>207.47*1.04*1.05</f>
        <v>226.56</v>
      </c>
      <c r="E1348" s="16">
        <f t="shared" si="135"/>
        <v>45.31</v>
      </c>
      <c r="F1348" s="164">
        <f t="shared" si="136"/>
        <v>271.87</v>
      </c>
      <c r="EH1348" s="3"/>
      <c r="GS1348" s="2"/>
      <c r="GT1348" s="4"/>
      <c r="GU1348" s="4"/>
      <c r="GV1348" s="4"/>
      <c r="GW1348" s="4"/>
      <c r="GX1348" s="4"/>
      <c r="GY1348" s="4"/>
      <c r="GZ1348" s="4"/>
      <c r="HA1348" s="4"/>
      <c r="HF1348" s="243"/>
      <c r="HG1348" s="209"/>
      <c r="IU1348" s="162">
        <v>190.9</v>
      </c>
      <c r="IV1348" s="198">
        <f>190.9*1.045</f>
        <v>199.49</v>
      </c>
    </row>
    <row r="1349" spans="1:256" ht="33.75" customHeight="1" x14ac:dyDescent="0.2">
      <c r="A1349" s="312" t="s">
        <v>1631</v>
      </c>
      <c r="B1349" s="312"/>
      <c r="C1349" s="312"/>
      <c r="D1349" s="312"/>
      <c r="E1349" s="312"/>
      <c r="F1349" s="312"/>
      <c r="EH1349" s="3"/>
      <c r="GS1349" s="2"/>
      <c r="GT1349" s="4"/>
      <c r="GU1349" s="4"/>
      <c r="GV1349" s="4"/>
      <c r="GW1349" s="4"/>
      <c r="GX1349" s="4"/>
      <c r="GY1349" s="4"/>
      <c r="GZ1349" s="4"/>
      <c r="HA1349" s="4"/>
      <c r="HG1349" s="209"/>
    </row>
    <row r="1350" spans="1:256" ht="22.5" customHeight="1" x14ac:dyDescent="0.2">
      <c r="A1350" s="178" t="s">
        <v>11</v>
      </c>
      <c r="B1350" s="279" t="s">
        <v>1632</v>
      </c>
      <c r="C1350" s="277" t="s">
        <v>1547</v>
      </c>
      <c r="D1350" s="295">
        <f>173.4*1.05</f>
        <v>182.07</v>
      </c>
      <c r="E1350" s="16">
        <f>D1350*20%</f>
        <v>36.409999999999997</v>
      </c>
      <c r="F1350" s="164">
        <f>D1350+E1350</f>
        <v>218.48</v>
      </c>
      <c r="EH1350" s="3"/>
      <c r="GS1350" s="2"/>
      <c r="GT1350" s="4"/>
      <c r="GU1350" s="4"/>
      <c r="GV1350" s="4"/>
      <c r="GW1350" s="4"/>
      <c r="GX1350" s="4"/>
      <c r="GY1350" s="4"/>
      <c r="GZ1350" s="4"/>
      <c r="HA1350" s="4"/>
      <c r="HF1350" s="243"/>
      <c r="HG1350" s="209"/>
    </row>
    <row r="1351" spans="1:256" ht="21.75" customHeight="1" x14ac:dyDescent="0.2">
      <c r="A1351" s="178" t="s">
        <v>23</v>
      </c>
      <c r="B1351" s="313" t="s">
        <v>1633</v>
      </c>
      <c r="C1351" s="313"/>
      <c r="D1351" s="313"/>
      <c r="E1351" s="313"/>
      <c r="F1351" s="313"/>
      <c r="EH1351" s="3"/>
      <c r="GS1351" s="2"/>
      <c r="GT1351" s="4"/>
      <c r="GU1351" s="4"/>
      <c r="GV1351" s="4"/>
      <c r="GW1351" s="4"/>
      <c r="GX1351" s="4"/>
      <c r="GY1351" s="4"/>
      <c r="GZ1351" s="4"/>
      <c r="HA1351" s="4"/>
      <c r="HG1351" s="209"/>
    </row>
    <row r="1352" spans="1:256" ht="27.75" x14ac:dyDescent="0.2">
      <c r="A1352" s="178" t="s">
        <v>569</v>
      </c>
      <c r="B1352" s="251" t="s">
        <v>1634</v>
      </c>
      <c r="C1352" s="277" t="s">
        <v>1635</v>
      </c>
      <c r="D1352" s="295">
        <f>4.04*1.05</f>
        <v>4.24</v>
      </c>
      <c r="E1352" s="16">
        <f>D1352*20%</f>
        <v>0.85</v>
      </c>
      <c r="F1352" s="164">
        <f>D1352+E1352</f>
        <v>5.09</v>
      </c>
      <c r="EH1352" s="3"/>
      <c r="GS1352" s="2"/>
      <c r="GT1352" s="4"/>
      <c r="GU1352" s="4"/>
      <c r="GV1352" s="4"/>
      <c r="GW1352" s="4"/>
      <c r="GX1352" s="4"/>
      <c r="GY1352" s="4"/>
      <c r="GZ1352" s="4"/>
      <c r="HA1352" s="4"/>
      <c r="HF1352" s="243"/>
      <c r="HG1352" s="209"/>
    </row>
    <row r="1353" spans="1:256" ht="27.75" x14ac:dyDescent="0.2">
      <c r="A1353" s="288" t="s">
        <v>571</v>
      </c>
      <c r="B1353" s="251" t="s">
        <v>1636</v>
      </c>
      <c r="C1353" s="277" t="s">
        <v>1637</v>
      </c>
      <c r="D1353" s="295">
        <f>4.23*1.05</f>
        <v>4.4400000000000004</v>
      </c>
      <c r="E1353" s="16">
        <f>D1353*20%</f>
        <v>0.89</v>
      </c>
      <c r="F1353" s="164">
        <f>D1353+E1353</f>
        <v>5.33</v>
      </c>
      <c r="EH1353" s="3"/>
      <c r="GS1353" s="2"/>
      <c r="GT1353" s="4"/>
      <c r="GU1353" s="4"/>
      <c r="GV1353" s="4"/>
      <c r="GW1353" s="4"/>
      <c r="GX1353" s="4"/>
      <c r="GY1353" s="4"/>
      <c r="GZ1353" s="4"/>
      <c r="HA1353" s="4"/>
      <c r="HF1353" s="243"/>
      <c r="HG1353" s="209"/>
      <c r="IU1353" s="162">
        <v>3.74</v>
      </c>
      <c r="IV1353" s="198">
        <f>3.74*1.045</f>
        <v>3.91</v>
      </c>
    </row>
    <row r="1354" spans="1:256" ht="42" customHeight="1" x14ac:dyDescent="0.2">
      <c r="A1354" s="178" t="s">
        <v>573</v>
      </c>
      <c r="B1354" s="251" t="s">
        <v>1638</v>
      </c>
      <c r="C1354" s="277" t="s">
        <v>1635</v>
      </c>
      <c r="D1354" s="295">
        <f>3.27*1.05</f>
        <v>3.43</v>
      </c>
      <c r="E1354" s="16">
        <f>D1354*20%</f>
        <v>0.69</v>
      </c>
      <c r="F1354" s="164">
        <f>D1354+E1354</f>
        <v>4.12</v>
      </c>
      <c r="EH1354" s="3"/>
      <c r="GS1354" s="2"/>
      <c r="GT1354" s="4"/>
      <c r="GU1354" s="4"/>
      <c r="GV1354" s="4"/>
      <c r="GW1354" s="4"/>
      <c r="GX1354" s="4"/>
      <c r="GY1354" s="4"/>
      <c r="GZ1354" s="4"/>
      <c r="HA1354" s="4"/>
      <c r="HF1354" s="243"/>
      <c r="HG1354" s="209"/>
      <c r="IU1354">
        <v>1.54</v>
      </c>
      <c r="IV1354" s="209">
        <f>1.54*1.045</f>
        <v>1.61</v>
      </c>
    </row>
    <row r="1355" spans="1:256" ht="15.75" x14ac:dyDescent="0.2">
      <c r="A1355" s="178" t="s">
        <v>26</v>
      </c>
      <c r="B1355" s="313" t="s">
        <v>1639</v>
      </c>
      <c r="C1355" s="313"/>
      <c r="D1355" s="313"/>
      <c r="E1355" s="313"/>
      <c r="F1355" s="313"/>
      <c r="EH1355" s="3"/>
      <c r="GS1355" s="2"/>
      <c r="GT1355" s="4"/>
      <c r="GU1355" s="4"/>
      <c r="GV1355" s="4"/>
      <c r="GW1355" s="4"/>
      <c r="GX1355" s="4"/>
      <c r="GY1355" s="4"/>
      <c r="GZ1355" s="4"/>
      <c r="HA1355" s="4"/>
      <c r="HG1355" s="209"/>
    </row>
    <row r="1356" spans="1:256" ht="20.25" customHeight="1" x14ac:dyDescent="0.2">
      <c r="A1356" s="288" t="s">
        <v>584</v>
      </c>
      <c r="B1356" s="251" t="s">
        <v>1640</v>
      </c>
      <c r="C1356" s="277" t="s">
        <v>1641</v>
      </c>
      <c r="D1356" s="295">
        <f>377.37*1.04*1.05</f>
        <v>412.09</v>
      </c>
      <c r="E1356" s="16">
        <f>D1356*20%</f>
        <v>82.42</v>
      </c>
      <c r="F1356" s="164">
        <f>D1356+E1356</f>
        <v>494.51</v>
      </c>
      <c r="EH1356" s="3"/>
      <c r="GS1356" s="2"/>
      <c r="GT1356" s="4"/>
      <c r="GU1356" s="4"/>
      <c r="GV1356" s="4"/>
      <c r="GW1356" s="4"/>
      <c r="GX1356" s="4"/>
      <c r="GY1356" s="4"/>
      <c r="GZ1356" s="4"/>
      <c r="HA1356" s="4"/>
      <c r="HF1356" s="243"/>
      <c r="HG1356" s="209"/>
      <c r="IU1356" s="162">
        <v>347.23</v>
      </c>
      <c r="IV1356" s="198">
        <f>347.23*1.045</f>
        <v>362.86</v>
      </c>
    </row>
    <row r="1357" spans="1:256" ht="21" customHeight="1" x14ac:dyDescent="0.2">
      <c r="A1357" s="178" t="s">
        <v>586</v>
      </c>
      <c r="B1357" s="251" t="s">
        <v>1642</v>
      </c>
      <c r="C1357" s="277" t="s">
        <v>1641</v>
      </c>
      <c r="D1357" s="295">
        <f>105.15*1.05</f>
        <v>110.41</v>
      </c>
      <c r="E1357" s="16">
        <f>D1357*20%</f>
        <v>22.08</v>
      </c>
      <c r="F1357" s="164">
        <f>D1357+E1357</f>
        <v>132.49</v>
      </c>
      <c r="EH1357" s="3"/>
      <c r="GS1357" s="2"/>
      <c r="GT1357" s="4"/>
      <c r="GU1357" s="4"/>
      <c r="GV1357" s="4"/>
      <c r="GW1357" s="4"/>
      <c r="GX1357" s="4"/>
      <c r="GY1357" s="4"/>
      <c r="GZ1357" s="4"/>
      <c r="HA1357" s="4"/>
      <c r="HF1357" s="243"/>
      <c r="HG1357" s="209"/>
    </row>
    <row r="1358" spans="1:256" ht="20.25" customHeight="1" x14ac:dyDescent="0.2">
      <c r="A1358" s="288" t="s">
        <v>588</v>
      </c>
      <c r="B1358" s="251" t="s">
        <v>1643</v>
      </c>
      <c r="C1358" s="277" t="s">
        <v>1641</v>
      </c>
      <c r="D1358" s="295">
        <f>96.67*1.04*1.05</f>
        <v>105.56</v>
      </c>
      <c r="E1358" s="16">
        <f>D1358*20%</f>
        <v>21.11</v>
      </c>
      <c r="F1358" s="164">
        <f>D1358+E1358</f>
        <v>126.67</v>
      </c>
      <c r="EH1358" s="3"/>
      <c r="GS1358" s="2"/>
      <c r="GT1358" s="4"/>
      <c r="GU1358" s="4"/>
      <c r="GV1358" s="4"/>
      <c r="GW1358" s="4"/>
      <c r="GX1358" s="4"/>
      <c r="GY1358" s="4"/>
      <c r="GZ1358" s="4"/>
      <c r="HA1358" s="4"/>
      <c r="HF1358" s="243"/>
      <c r="HG1358" s="209"/>
      <c r="IU1358" s="162">
        <v>88.95</v>
      </c>
      <c r="IV1358" s="198">
        <f>88.95*1.045</f>
        <v>92.95</v>
      </c>
    </row>
    <row r="1359" spans="1:256" ht="46.5" x14ac:dyDescent="0.2">
      <c r="A1359" s="178" t="s">
        <v>590</v>
      </c>
      <c r="B1359" s="285" t="s">
        <v>1644</v>
      </c>
      <c r="C1359" s="277" t="s">
        <v>1194</v>
      </c>
      <c r="D1359" s="295">
        <f>636.74*1.05</f>
        <v>668.58</v>
      </c>
      <c r="E1359" s="16">
        <f>D1359*20%</f>
        <v>133.72</v>
      </c>
      <c r="F1359" s="164">
        <f>D1359+E1359</f>
        <v>802.3</v>
      </c>
      <c r="EH1359" s="3"/>
      <c r="GS1359" s="2"/>
      <c r="GT1359" s="4"/>
      <c r="GU1359" s="4"/>
      <c r="GV1359" s="4"/>
      <c r="GW1359" s="4"/>
      <c r="GX1359" s="4"/>
      <c r="GY1359" s="4"/>
      <c r="GZ1359" s="4"/>
      <c r="HA1359" s="4"/>
      <c r="HF1359" s="253"/>
      <c r="HG1359" s="209"/>
    </row>
    <row r="1360" spans="1:256" ht="15.75" customHeight="1" x14ac:dyDescent="0.2">
      <c r="A1360" s="178" t="s">
        <v>28</v>
      </c>
      <c r="B1360" s="313" t="s">
        <v>1645</v>
      </c>
      <c r="C1360" s="313"/>
      <c r="D1360" s="313"/>
      <c r="E1360" s="313"/>
      <c r="F1360" s="313"/>
      <c r="EH1360" s="3"/>
      <c r="GS1360" s="2"/>
      <c r="GT1360" s="4"/>
      <c r="GU1360" s="4"/>
      <c r="GV1360" s="4"/>
      <c r="GW1360" s="4"/>
      <c r="GX1360" s="4"/>
      <c r="GY1360" s="4"/>
      <c r="GZ1360" s="4"/>
      <c r="HA1360" s="4"/>
      <c r="HG1360" s="209"/>
    </row>
    <row r="1361" spans="1:256" ht="48" customHeight="1" x14ac:dyDescent="0.2">
      <c r="A1361" s="178" t="s">
        <v>633</v>
      </c>
      <c r="B1361" s="285" t="s">
        <v>1646</v>
      </c>
      <c r="C1361" s="277" t="s">
        <v>1647</v>
      </c>
      <c r="D1361" s="295">
        <f>233.54*1.05</f>
        <v>245.22</v>
      </c>
      <c r="E1361" s="16">
        <f>D1361*20%</f>
        <v>49.04</v>
      </c>
      <c r="F1361" s="164">
        <f>D1361+E1361</f>
        <v>294.26</v>
      </c>
      <c r="EH1361" s="3"/>
      <c r="GS1361" s="2"/>
      <c r="GT1361" s="4"/>
      <c r="GU1361" s="4"/>
      <c r="GV1361" s="4"/>
      <c r="GW1361" s="4"/>
      <c r="GX1361" s="4"/>
      <c r="GY1361" s="4"/>
      <c r="GZ1361" s="4"/>
      <c r="HA1361" s="4"/>
      <c r="HF1361" s="243"/>
      <c r="HG1361" s="209"/>
    </row>
    <row r="1362" spans="1:256" s="77" customFormat="1" ht="35.25" customHeight="1" x14ac:dyDescent="0.2">
      <c r="A1362" s="178" t="s">
        <v>634</v>
      </c>
      <c r="B1362" s="285" t="s">
        <v>1648</v>
      </c>
      <c r="C1362" s="277" t="s">
        <v>1647</v>
      </c>
      <c r="D1362" s="295">
        <f>265.65*1.04*1.05</f>
        <v>290.08999999999997</v>
      </c>
      <c r="E1362" s="16">
        <f>D1362*20%</f>
        <v>58.02</v>
      </c>
      <c r="F1362" s="164">
        <f>D1362+E1362</f>
        <v>348.11</v>
      </c>
      <c r="G1362" s="2"/>
      <c r="EH1362" s="3"/>
      <c r="GS1362" s="2"/>
      <c r="GT1362" s="4"/>
      <c r="GU1362" s="4"/>
      <c r="GV1362" s="4"/>
      <c r="GW1362" s="4"/>
      <c r="GX1362" s="4"/>
      <c r="GY1362" s="4"/>
      <c r="GZ1362" s="4"/>
      <c r="HA1362" s="4"/>
      <c r="HF1362" s="162"/>
      <c r="HG1362" s="254"/>
    </row>
    <row r="1363" spans="1:256" ht="62.25" customHeight="1" x14ac:dyDescent="0.2">
      <c r="A1363" s="178" t="s">
        <v>635</v>
      </c>
      <c r="B1363" s="285" t="s">
        <v>1649</v>
      </c>
      <c r="C1363" s="277" t="s">
        <v>1647</v>
      </c>
      <c r="D1363" s="295">
        <f>311.46*1.05</f>
        <v>327.02999999999997</v>
      </c>
      <c r="E1363" s="16">
        <f>D1363*20%</f>
        <v>65.41</v>
      </c>
      <c r="F1363" s="164">
        <f>D1363+E1363</f>
        <v>392.44</v>
      </c>
      <c r="EH1363" s="3"/>
      <c r="GS1363" s="2"/>
      <c r="GT1363" s="4"/>
      <c r="GU1363" s="4"/>
      <c r="GV1363" s="4"/>
      <c r="GW1363" s="4"/>
      <c r="GX1363" s="4"/>
      <c r="GY1363" s="4"/>
      <c r="GZ1363" s="4"/>
      <c r="HA1363" s="4"/>
      <c r="HF1363" s="243"/>
      <c r="HG1363" s="209"/>
    </row>
    <row r="1364" spans="1:256" ht="51.75" customHeight="1" x14ac:dyDescent="0.2">
      <c r="A1364" s="178" t="s">
        <v>637</v>
      </c>
      <c r="B1364" s="285" t="s">
        <v>1650</v>
      </c>
      <c r="C1364" s="277" t="s">
        <v>1647</v>
      </c>
      <c r="D1364" s="295">
        <f>343.76*1.05</f>
        <v>360.95</v>
      </c>
      <c r="E1364" s="16">
        <f>D1364*20%</f>
        <v>72.19</v>
      </c>
      <c r="F1364" s="164">
        <f>D1364+E1364</f>
        <v>433.14</v>
      </c>
      <c r="EH1364" s="3"/>
      <c r="GS1364" s="2"/>
      <c r="GT1364" s="4"/>
      <c r="GU1364" s="4"/>
      <c r="GV1364" s="4"/>
      <c r="GW1364" s="4"/>
      <c r="GX1364" s="4"/>
      <c r="GY1364" s="4"/>
      <c r="GZ1364" s="4"/>
      <c r="HA1364" s="4"/>
      <c r="HF1364" s="243"/>
      <c r="HG1364" s="209"/>
    </row>
    <row r="1365" spans="1:256" s="77" customFormat="1" ht="44.25" hidden="1" customHeight="1" x14ac:dyDescent="0.2">
      <c r="A1365" s="178" t="s">
        <v>30</v>
      </c>
      <c r="B1365" s="285" t="s">
        <v>1651</v>
      </c>
      <c r="C1365" s="197" t="s">
        <v>230</v>
      </c>
      <c r="D1365" s="295">
        <v>1064.1500000000001</v>
      </c>
      <c r="E1365" s="16">
        <f>D1365*20%</f>
        <v>212.83</v>
      </c>
      <c r="F1365" s="164">
        <f>D1365+E1365</f>
        <v>1276.98</v>
      </c>
      <c r="G1365" s="2"/>
      <c r="EH1365" s="3"/>
      <c r="GS1365" s="2"/>
      <c r="GT1365" s="4"/>
      <c r="GU1365" s="4"/>
      <c r="GV1365" s="4"/>
      <c r="GW1365" s="4"/>
      <c r="GX1365" s="4"/>
      <c r="GY1365" s="4"/>
      <c r="GZ1365" s="4"/>
      <c r="HA1365" s="4"/>
      <c r="HF1365" s="143"/>
      <c r="HG1365" s="254"/>
    </row>
    <row r="1366" spans="1:256" ht="34.5" customHeight="1" x14ac:dyDescent="0.2">
      <c r="A1366" s="312" t="s">
        <v>1652</v>
      </c>
      <c r="B1366" s="312"/>
      <c r="C1366" s="312"/>
      <c r="D1366" s="312"/>
      <c r="E1366" s="312"/>
      <c r="F1366" s="312"/>
      <c r="EH1366" s="3"/>
      <c r="GS1366" s="2"/>
      <c r="GT1366" s="4"/>
      <c r="GU1366" s="4"/>
      <c r="GV1366" s="4"/>
      <c r="GW1366" s="4"/>
      <c r="GX1366" s="4"/>
      <c r="GY1366" s="4"/>
      <c r="GZ1366" s="4"/>
      <c r="HA1366" s="4"/>
      <c r="HG1366" s="209"/>
    </row>
    <row r="1367" spans="1:256" ht="49.5" customHeight="1" x14ac:dyDescent="0.2">
      <c r="A1367" s="178" t="s">
        <v>11</v>
      </c>
      <c r="B1367" s="323" t="s">
        <v>1653</v>
      </c>
      <c r="C1367" s="323"/>
      <c r="D1367" s="323"/>
      <c r="E1367" s="323"/>
      <c r="F1367" s="323"/>
      <c r="EH1367" s="3"/>
      <c r="GS1367" s="2"/>
      <c r="GT1367" s="4"/>
      <c r="GU1367" s="4"/>
      <c r="GV1367" s="4"/>
      <c r="GW1367" s="4"/>
      <c r="GX1367" s="4"/>
      <c r="GY1367" s="4"/>
      <c r="GZ1367" s="4"/>
      <c r="HA1367" s="4"/>
      <c r="HG1367" s="209"/>
    </row>
    <row r="1368" spans="1:256" ht="35.25" customHeight="1" x14ac:dyDescent="0.2">
      <c r="A1368" s="288" t="s">
        <v>200</v>
      </c>
      <c r="B1368" s="313" t="s">
        <v>1654</v>
      </c>
      <c r="C1368" s="313"/>
      <c r="D1368" s="313"/>
      <c r="E1368" s="313"/>
      <c r="F1368" s="313"/>
      <c r="EH1368" s="3"/>
      <c r="GS1368" s="2"/>
      <c r="GT1368" s="4"/>
      <c r="GU1368" s="4"/>
      <c r="GV1368" s="4"/>
      <c r="GW1368" s="4"/>
      <c r="GX1368" s="4"/>
      <c r="GY1368" s="4"/>
      <c r="GZ1368" s="4"/>
      <c r="HA1368" s="4"/>
      <c r="HG1368" s="209"/>
    </row>
    <row r="1369" spans="1:256" ht="17.25" customHeight="1" x14ac:dyDescent="0.2">
      <c r="A1369" s="178" t="s">
        <v>1357</v>
      </c>
      <c r="B1369" s="285" t="s">
        <v>1655</v>
      </c>
      <c r="C1369" s="277" t="s">
        <v>1641</v>
      </c>
      <c r="D1369" s="295">
        <f>47.51*1.04*1.05</f>
        <v>51.88</v>
      </c>
      <c r="E1369" s="16">
        <f>D1369*20%</f>
        <v>10.38</v>
      </c>
      <c r="F1369" s="164">
        <f t="shared" ref="F1369:F1378" si="137">D1369+E1369</f>
        <v>62.26</v>
      </c>
      <c r="EH1369" s="3"/>
      <c r="GS1369" s="2"/>
      <c r="GT1369" s="4"/>
      <c r="GU1369" s="4"/>
      <c r="GV1369" s="4"/>
      <c r="GW1369" s="4"/>
      <c r="GX1369" s="4"/>
      <c r="GY1369" s="4"/>
      <c r="GZ1369" s="4"/>
      <c r="HA1369" s="4"/>
      <c r="HF1369" s="243"/>
      <c r="HG1369" s="209"/>
    </row>
    <row r="1370" spans="1:256" ht="16.5" customHeight="1" x14ac:dyDescent="0.2">
      <c r="A1370" s="178" t="s">
        <v>1359</v>
      </c>
      <c r="B1370" s="285" t="s">
        <v>1656</v>
      </c>
      <c r="C1370" s="277" t="s">
        <v>1641</v>
      </c>
      <c r="D1370" s="295">
        <f>47.51*1.05</f>
        <v>49.89</v>
      </c>
      <c r="E1370" s="16">
        <f>D1370*20%</f>
        <v>9.98</v>
      </c>
      <c r="F1370" s="164">
        <f t="shared" si="137"/>
        <v>59.87</v>
      </c>
      <c r="EH1370" s="3"/>
      <c r="GS1370" s="2"/>
      <c r="GT1370" s="4"/>
      <c r="GU1370" s="4"/>
      <c r="GV1370" s="4"/>
      <c r="GW1370" s="4"/>
      <c r="GX1370" s="4"/>
      <c r="GY1370" s="4"/>
      <c r="GZ1370" s="4"/>
      <c r="HA1370" s="4"/>
      <c r="HF1370" s="243"/>
      <c r="HG1370" s="209"/>
    </row>
    <row r="1371" spans="1:256" ht="16.5" customHeight="1" x14ac:dyDescent="0.2">
      <c r="A1371" s="178" t="s">
        <v>1361</v>
      </c>
      <c r="B1371" s="324" t="s">
        <v>1657</v>
      </c>
      <c r="C1371" s="324"/>
      <c r="D1371" s="324"/>
      <c r="E1371" s="324"/>
      <c r="F1371" s="324"/>
      <c r="EH1371" s="3"/>
      <c r="GS1371" s="255"/>
      <c r="GT1371" s="4"/>
      <c r="GU1371" s="4"/>
      <c r="GV1371" s="4"/>
      <c r="GW1371" s="4"/>
      <c r="GX1371" s="4"/>
      <c r="GY1371" s="4"/>
      <c r="GZ1371" s="4"/>
      <c r="HA1371" s="4"/>
      <c r="HF1371" s="243"/>
      <c r="HG1371" s="209"/>
    </row>
    <row r="1372" spans="1:256" ht="16.5" customHeight="1" x14ac:dyDescent="0.2">
      <c r="A1372" s="178" t="s">
        <v>1658</v>
      </c>
      <c r="B1372" s="285" t="s">
        <v>1659</v>
      </c>
      <c r="C1372" s="277" t="s">
        <v>1641</v>
      </c>
      <c r="D1372" s="295">
        <f>105.93*1.05</f>
        <v>111.23</v>
      </c>
      <c r="E1372" s="16">
        <f t="shared" ref="E1372:E1378" si="138">D1372*20%</f>
        <v>22.25</v>
      </c>
      <c r="F1372" s="164">
        <f>D1372+E1372</f>
        <v>133.47999999999999</v>
      </c>
      <c r="EH1372" s="3"/>
      <c r="GS1372" s="256"/>
      <c r="GT1372" s="4"/>
      <c r="GU1372" s="4"/>
      <c r="GV1372" s="4"/>
      <c r="GW1372" s="4"/>
      <c r="GX1372" s="4"/>
      <c r="GY1372" s="4"/>
      <c r="GZ1372" s="4"/>
      <c r="HA1372" s="4"/>
      <c r="HF1372" s="243"/>
      <c r="HG1372" s="209"/>
    </row>
    <row r="1373" spans="1:256" ht="16.5" customHeight="1" x14ac:dyDescent="0.2">
      <c r="A1373" s="178" t="s">
        <v>1660</v>
      </c>
      <c r="B1373" s="285" t="s">
        <v>1661</v>
      </c>
      <c r="C1373" s="277" t="s">
        <v>1641</v>
      </c>
      <c r="D1373" s="295">
        <f>86.44*1.04*1.05</f>
        <v>94.39</v>
      </c>
      <c r="E1373" s="16">
        <f t="shared" si="138"/>
        <v>18.88</v>
      </c>
      <c r="F1373" s="164">
        <f>D1373+E1373</f>
        <v>113.27</v>
      </c>
      <c r="EH1373" s="3"/>
      <c r="GS1373" s="256"/>
      <c r="GT1373" s="4"/>
      <c r="GU1373" s="4"/>
      <c r="GV1373" s="4"/>
      <c r="GW1373" s="4"/>
      <c r="GX1373" s="4"/>
      <c r="GY1373" s="4"/>
      <c r="GZ1373" s="4"/>
      <c r="HA1373" s="4"/>
      <c r="HF1373" s="243"/>
      <c r="HG1373" s="209"/>
    </row>
    <row r="1374" spans="1:256" ht="31.5" customHeight="1" x14ac:dyDescent="0.2">
      <c r="A1374" s="178" t="s">
        <v>204</v>
      </c>
      <c r="B1374" s="300" t="s">
        <v>1662</v>
      </c>
      <c r="C1374" s="277" t="s">
        <v>1641</v>
      </c>
      <c r="D1374" s="295">
        <f>222.58*1.05</f>
        <v>233.71</v>
      </c>
      <c r="E1374" s="16">
        <f t="shared" si="138"/>
        <v>46.74</v>
      </c>
      <c r="F1374" s="164">
        <f t="shared" si="137"/>
        <v>280.45</v>
      </c>
      <c r="EH1374" s="3"/>
      <c r="GS1374" s="2"/>
      <c r="GT1374" s="4"/>
      <c r="GU1374" s="4"/>
      <c r="GV1374" s="4"/>
      <c r="GW1374" s="4"/>
      <c r="GX1374" s="4"/>
      <c r="GY1374" s="4"/>
      <c r="GZ1374" s="4"/>
      <c r="HA1374" s="4"/>
      <c r="HF1374" s="243"/>
      <c r="HG1374" s="209"/>
    </row>
    <row r="1375" spans="1:256" ht="31.5" customHeight="1" x14ac:dyDescent="0.2">
      <c r="A1375" s="178" t="s">
        <v>527</v>
      </c>
      <c r="B1375" s="300" t="s">
        <v>1663</v>
      </c>
      <c r="C1375" s="277" t="s">
        <v>1641</v>
      </c>
      <c r="D1375" s="295">
        <f>335.66*1.05</f>
        <v>352.44</v>
      </c>
      <c r="E1375" s="16">
        <f t="shared" si="138"/>
        <v>70.489999999999995</v>
      </c>
      <c r="F1375" s="164">
        <f t="shared" si="137"/>
        <v>422.93</v>
      </c>
      <c r="EH1375" s="3"/>
      <c r="GR1375" s="257"/>
      <c r="GS1375" s="2"/>
      <c r="GT1375" s="4"/>
      <c r="GU1375" s="4"/>
      <c r="GV1375" s="4"/>
      <c r="GW1375" s="4"/>
      <c r="GX1375" s="4"/>
      <c r="GY1375" s="4"/>
      <c r="GZ1375" s="4"/>
      <c r="HA1375" s="4"/>
      <c r="HF1375" s="243"/>
      <c r="HG1375" s="209"/>
    </row>
    <row r="1376" spans="1:256" ht="30.75" customHeight="1" x14ac:dyDescent="0.2">
      <c r="A1376" s="288" t="s">
        <v>529</v>
      </c>
      <c r="B1376" s="300" t="s">
        <v>1664</v>
      </c>
      <c r="C1376" s="277" t="s">
        <v>1641</v>
      </c>
      <c r="D1376" s="295">
        <f>222.58*1.05</f>
        <v>233.71</v>
      </c>
      <c r="E1376" s="16">
        <f t="shared" si="138"/>
        <v>46.74</v>
      </c>
      <c r="F1376" s="164">
        <f t="shared" si="137"/>
        <v>280.45</v>
      </c>
      <c r="EH1376" s="3"/>
      <c r="GS1376" s="2"/>
      <c r="GT1376" s="4"/>
      <c r="GU1376" s="4"/>
      <c r="GV1376" s="4"/>
      <c r="GW1376" s="4"/>
      <c r="GX1376" s="4"/>
      <c r="GY1376" s="4"/>
      <c r="GZ1376" s="4"/>
      <c r="HA1376" s="4"/>
      <c r="HF1376" s="243"/>
      <c r="HG1376" s="209"/>
      <c r="IU1376" s="162">
        <v>197</v>
      </c>
      <c r="IV1376" s="198">
        <f>197*1.045</f>
        <v>205.87</v>
      </c>
    </row>
    <row r="1377" spans="1:256" ht="21" customHeight="1" x14ac:dyDescent="0.2">
      <c r="A1377" s="178" t="s">
        <v>531</v>
      </c>
      <c r="B1377" s="300" t="s">
        <v>1665</v>
      </c>
      <c r="C1377" s="277" t="s">
        <v>1641</v>
      </c>
      <c r="D1377" s="295">
        <f>524.89*1.05</f>
        <v>551.13</v>
      </c>
      <c r="E1377" s="16">
        <f t="shared" si="138"/>
        <v>110.23</v>
      </c>
      <c r="F1377" s="164">
        <f>D1377+E1377</f>
        <v>661.36</v>
      </c>
      <c r="EH1377" s="3"/>
      <c r="GS1377" s="2"/>
      <c r="GT1377" s="4"/>
      <c r="GU1377" s="4"/>
      <c r="GV1377" s="4"/>
      <c r="GW1377" s="4"/>
      <c r="GX1377" s="4"/>
      <c r="GY1377" s="4"/>
      <c r="GZ1377" s="4"/>
      <c r="HA1377" s="4"/>
      <c r="HF1377" s="243"/>
      <c r="HG1377" s="209"/>
    </row>
    <row r="1378" spans="1:256" ht="37.5" customHeight="1" x14ac:dyDescent="0.2">
      <c r="A1378" s="288" t="s">
        <v>533</v>
      </c>
      <c r="B1378" s="300" t="s">
        <v>1666</v>
      </c>
      <c r="C1378" s="277" t="s">
        <v>1641</v>
      </c>
      <c r="D1378" s="295">
        <f>181.67*1.04*1.05</f>
        <v>198.38</v>
      </c>
      <c r="E1378" s="16">
        <f t="shared" si="138"/>
        <v>39.68</v>
      </c>
      <c r="F1378" s="164">
        <f t="shared" si="137"/>
        <v>238.06</v>
      </c>
      <c r="EH1378" s="3"/>
      <c r="GS1378" s="2"/>
      <c r="GT1378" s="4"/>
      <c r="GU1378" s="4"/>
      <c r="GV1378" s="4"/>
      <c r="GW1378" s="4"/>
      <c r="GX1378" s="4"/>
      <c r="GY1378" s="4"/>
      <c r="GZ1378" s="4"/>
      <c r="HA1378" s="4"/>
      <c r="HF1378" s="243"/>
      <c r="HG1378" s="209"/>
      <c r="IU1378" s="162">
        <v>167.16</v>
      </c>
      <c r="IV1378" s="198">
        <f>167.16*1.045</f>
        <v>174.68</v>
      </c>
    </row>
    <row r="1379" spans="1:256" ht="18" customHeight="1" x14ac:dyDescent="0.2">
      <c r="A1379" s="178" t="s">
        <v>196</v>
      </c>
      <c r="B1379" s="321" t="s">
        <v>1667</v>
      </c>
      <c r="C1379" s="321"/>
      <c r="D1379" s="321"/>
      <c r="E1379" s="321"/>
      <c r="F1379" s="321"/>
      <c r="EH1379" s="3"/>
      <c r="GS1379" s="2"/>
      <c r="GT1379" s="4"/>
      <c r="GU1379" s="4"/>
      <c r="GV1379" s="4"/>
      <c r="GW1379" s="4"/>
      <c r="GX1379" s="4"/>
      <c r="GY1379" s="4"/>
      <c r="GZ1379" s="4"/>
      <c r="HA1379" s="4"/>
      <c r="HG1379" s="209"/>
    </row>
    <row r="1380" spans="1:256" ht="21" customHeight="1" x14ac:dyDescent="0.2">
      <c r="A1380" s="288" t="s">
        <v>569</v>
      </c>
      <c r="B1380" s="251" t="s">
        <v>1668</v>
      </c>
      <c r="C1380" s="277" t="s">
        <v>1641</v>
      </c>
      <c r="D1380" s="295">
        <f>211.83*1.05</f>
        <v>222.42</v>
      </c>
      <c r="E1380" s="16">
        <f>D1380*20%</f>
        <v>44.48</v>
      </c>
      <c r="F1380" s="164">
        <f t="shared" ref="F1380:F1386" si="139">D1380+E1380</f>
        <v>266.89999999999998</v>
      </c>
      <c r="EH1380" s="3"/>
      <c r="GS1380" s="2"/>
      <c r="GT1380" s="4"/>
      <c r="GU1380" s="4"/>
      <c r="GV1380" s="4"/>
      <c r="GW1380" s="4"/>
      <c r="GX1380" s="4"/>
      <c r="GY1380" s="4"/>
      <c r="GZ1380" s="4"/>
      <c r="HA1380" s="4"/>
      <c r="HF1380" s="243"/>
      <c r="HG1380" s="209"/>
      <c r="IU1380" s="162">
        <v>182.51</v>
      </c>
      <c r="IV1380" s="198">
        <f>182.51*1.045</f>
        <v>190.72</v>
      </c>
    </row>
    <row r="1381" spans="1:256" ht="35.25" customHeight="1" x14ac:dyDescent="0.2">
      <c r="A1381" s="288" t="s">
        <v>571</v>
      </c>
      <c r="B1381" s="251" t="s">
        <v>1669</v>
      </c>
      <c r="C1381" s="277" t="s">
        <v>1641</v>
      </c>
      <c r="D1381" s="295">
        <f>140.83*1.04*1.05</f>
        <v>153.79</v>
      </c>
      <c r="E1381" s="16">
        <f>D1381*20%</f>
        <v>30.76</v>
      </c>
      <c r="F1381" s="164">
        <f t="shared" si="139"/>
        <v>184.55</v>
      </c>
      <c r="EH1381" s="3"/>
      <c r="GS1381" s="2"/>
      <c r="GT1381" s="4"/>
      <c r="GU1381" s="4"/>
      <c r="GV1381" s="4"/>
      <c r="GW1381" s="4"/>
      <c r="GX1381" s="4"/>
      <c r="GY1381" s="4"/>
      <c r="GZ1381" s="4"/>
      <c r="HA1381" s="4"/>
      <c r="HF1381" s="243"/>
      <c r="HG1381" s="209"/>
      <c r="IU1381" s="162">
        <v>129.58000000000001</v>
      </c>
      <c r="IV1381" s="198">
        <f>129.58*1.045</f>
        <v>135.41</v>
      </c>
    </row>
    <row r="1382" spans="1:256" ht="71.25" customHeight="1" x14ac:dyDescent="0.2">
      <c r="A1382" s="178" t="s">
        <v>26</v>
      </c>
      <c r="B1382" s="279" t="s">
        <v>1670</v>
      </c>
      <c r="C1382" s="277" t="s">
        <v>240</v>
      </c>
      <c r="D1382" s="295">
        <f>1480.6*1.04*1.05</f>
        <v>1616.82</v>
      </c>
      <c r="E1382" s="16">
        <f>D1382*20%</f>
        <v>323.36</v>
      </c>
      <c r="F1382" s="164">
        <f t="shared" si="139"/>
        <v>1940.18</v>
      </c>
      <c r="EH1382" s="3"/>
      <c r="GS1382" s="2"/>
      <c r="GT1382" s="4"/>
      <c r="GU1382" s="4"/>
      <c r="GV1382" s="4"/>
      <c r="GW1382" s="4"/>
      <c r="GX1382" s="4"/>
      <c r="GY1382" s="4"/>
      <c r="GZ1382" s="4"/>
      <c r="HA1382" s="4"/>
      <c r="HF1382" s="243"/>
      <c r="HG1382" s="209"/>
      <c r="IU1382" s="162">
        <v>1639.14</v>
      </c>
      <c r="IV1382" s="198">
        <f>1639.14*1.045</f>
        <v>1712.9</v>
      </c>
    </row>
    <row r="1383" spans="1:256" ht="34.5" customHeight="1" x14ac:dyDescent="0.2">
      <c r="A1383" s="178" t="s">
        <v>28</v>
      </c>
      <c r="B1383" s="320" t="s">
        <v>1671</v>
      </c>
      <c r="C1383" s="320"/>
      <c r="D1383" s="320"/>
      <c r="E1383" s="320"/>
      <c r="F1383" s="320"/>
      <c r="EH1383" s="3"/>
      <c r="GS1383" s="2"/>
      <c r="GT1383" s="4"/>
      <c r="GU1383" s="4"/>
      <c r="GV1383" s="4"/>
      <c r="GW1383" s="4"/>
      <c r="GX1383" s="4"/>
      <c r="GY1383" s="4"/>
      <c r="GZ1383" s="4"/>
      <c r="HA1383" s="4"/>
      <c r="HF1383" s="243"/>
      <c r="HG1383" s="209"/>
      <c r="IU1383" s="143"/>
      <c r="IV1383" s="198"/>
    </row>
    <row r="1384" spans="1:256" ht="66.75" customHeight="1" x14ac:dyDescent="0.2">
      <c r="A1384" s="178" t="s">
        <v>633</v>
      </c>
      <c r="B1384" s="279" t="s">
        <v>1672</v>
      </c>
      <c r="C1384" s="277" t="s">
        <v>240</v>
      </c>
      <c r="D1384" s="295">
        <f>1736.51*1.05</f>
        <v>1823.34</v>
      </c>
      <c r="E1384" s="16">
        <f>D1384*20%</f>
        <v>364.67</v>
      </c>
      <c r="F1384" s="164">
        <f t="shared" si="139"/>
        <v>2188.0100000000002</v>
      </c>
      <c r="EH1384" s="3"/>
      <c r="GS1384" s="2"/>
      <c r="GT1384" s="4"/>
      <c r="GU1384" s="4"/>
      <c r="GV1384" s="4"/>
      <c r="GW1384" s="4"/>
      <c r="GX1384" s="4"/>
      <c r="GY1384" s="4"/>
      <c r="GZ1384" s="4"/>
      <c r="HA1384" s="4"/>
      <c r="HF1384" s="243"/>
      <c r="HG1384" s="209"/>
      <c r="IU1384" s="143"/>
      <c r="IV1384" s="198"/>
    </row>
    <row r="1385" spans="1:256" ht="64.5" customHeight="1" x14ac:dyDescent="0.2">
      <c r="A1385" s="178" t="s">
        <v>634</v>
      </c>
      <c r="B1385" s="279" t="s">
        <v>1673</v>
      </c>
      <c r="C1385" s="277" t="s">
        <v>240</v>
      </c>
      <c r="D1385" s="295">
        <f>1898.39*1.05</f>
        <v>1993.31</v>
      </c>
      <c r="E1385" s="16">
        <f>D1385*20%</f>
        <v>398.66</v>
      </c>
      <c r="F1385" s="164">
        <f t="shared" si="139"/>
        <v>2391.9699999999998</v>
      </c>
      <c r="EH1385" s="3"/>
      <c r="GS1385" s="2"/>
      <c r="GT1385" s="4"/>
      <c r="GU1385" s="4"/>
      <c r="GV1385" s="4"/>
      <c r="GW1385" s="4"/>
      <c r="GX1385" s="4"/>
      <c r="GY1385" s="4"/>
      <c r="GZ1385" s="4"/>
      <c r="HA1385" s="4"/>
      <c r="HF1385" s="243"/>
      <c r="HG1385" s="209"/>
      <c r="IU1385" s="143"/>
      <c r="IV1385" s="198"/>
    </row>
    <row r="1386" spans="1:256" ht="72.75" customHeight="1" x14ac:dyDescent="0.2">
      <c r="A1386" s="178" t="s">
        <v>635</v>
      </c>
      <c r="B1386" s="279" t="s">
        <v>1674</v>
      </c>
      <c r="C1386" s="277" t="s">
        <v>240</v>
      </c>
      <c r="D1386" s="295">
        <f>1795.82*1.05</f>
        <v>1885.61</v>
      </c>
      <c r="E1386" s="16">
        <f>D1386*20%</f>
        <v>377.12</v>
      </c>
      <c r="F1386" s="164">
        <f t="shared" si="139"/>
        <v>2262.73</v>
      </c>
      <c r="EH1386" s="3"/>
      <c r="GS1386" s="2"/>
      <c r="GT1386" s="4"/>
      <c r="GU1386" s="4"/>
      <c r="GV1386" s="4"/>
      <c r="GW1386" s="4"/>
      <c r="GX1386" s="4"/>
      <c r="GY1386" s="4"/>
      <c r="GZ1386" s="4"/>
      <c r="HA1386" s="4"/>
      <c r="HF1386" s="243"/>
      <c r="HG1386" s="209"/>
    </row>
    <row r="1387" spans="1:256" ht="21" customHeight="1" x14ac:dyDescent="0.2">
      <c r="A1387" s="178" t="s">
        <v>30</v>
      </c>
      <c r="B1387" s="321" t="s">
        <v>1675</v>
      </c>
      <c r="C1387" s="321"/>
      <c r="D1387" s="321"/>
      <c r="E1387" s="321"/>
      <c r="F1387" s="321"/>
      <c r="EH1387" s="3"/>
      <c r="GS1387" s="2"/>
      <c r="GT1387" s="4"/>
      <c r="GU1387" s="4"/>
      <c r="GV1387" s="4"/>
      <c r="GW1387" s="4"/>
      <c r="GX1387" s="4"/>
      <c r="GY1387" s="4"/>
      <c r="GZ1387" s="4"/>
      <c r="HA1387" s="4"/>
      <c r="HG1387" s="209"/>
    </row>
    <row r="1388" spans="1:256" ht="33" customHeight="1" x14ac:dyDescent="0.2">
      <c r="A1388" s="178" t="s">
        <v>645</v>
      </c>
      <c r="B1388" s="285" t="s">
        <v>1676</v>
      </c>
      <c r="C1388" s="277" t="s">
        <v>1641</v>
      </c>
      <c r="D1388" s="295">
        <f>118.14*1.05</f>
        <v>124.05</v>
      </c>
      <c r="E1388" s="16">
        <f>D1388*20%</f>
        <v>24.81</v>
      </c>
      <c r="F1388" s="164">
        <f>D1388+E1388</f>
        <v>148.86000000000001</v>
      </c>
      <c r="EH1388" s="3"/>
      <c r="GS1388" s="2"/>
      <c r="GT1388" s="4"/>
      <c r="GU1388" s="4"/>
      <c r="GV1388" s="4"/>
      <c r="GW1388" s="4"/>
      <c r="GX1388" s="4"/>
      <c r="GY1388" s="4"/>
      <c r="GZ1388" s="4"/>
      <c r="HA1388" s="4"/>
      <c r="HF1388" s="243"/>
      <c r="HG1388" s="209"/>
    </row>
    <row r="1389" spans="1:256" ht="17.25" customHeight="1" x14ac:dyDescent="0.2">
      <c r="A1389" s="178" t="s">
        <v>32</v>
      </c>
      <c r="B1389" s="321" t="s">
        <v>1677</v>
      </c>
      <c r="C1389" s="321"/>
      <c r="D1389" s="321"/>
      <c r="E1389" s="321"/>
      <c r="F1389" s="321"/>
      <c r="EH1389" s="3"/>
      <c r="GS1389" s="2"/>
      <c r="GT1389" s="4"/>
      <c r="GU1389" s="4"/>
      <c r="GV1389" s="4"/>
      <c r="GW1389" s="4"/>
      <c r="GX1389" s="4"/>
      <c r="GY1389" s="4"/>
      <c r="GZ1389" s="4"/>
      <c r="HA1389" s="4"/>
      <c r="HG1389" s="209"/>
    </row>
    <row r="1390" spans="1:256" ht="19.5" customHeight="1" x14ac:dyDescent="0.2">
      <c r="A1390" s="178" t="s">
        <v>263</v>
      </c>
      <c r="B1390" s="285" t="s">
        <v>1678</v>
      </c>
      <c r="C1390" s="277" t="s">
        <v>1679</v>
      </c>
      <c r="D1390" s="295">
        <f>465.91*1.05</f>
        <v>489.21</v>
      </c>
      <c r="E1390" s="16">
        <f t="shared" ref="E1390:E1395" si="140">D1390*20%</f>
        <v>97.84</v>
      </c>
      <c r="F1390" s="164">
        <f t="shared" ref="F1390:F1395" si="141">D1390+E1390</f>
        <v>587.04999999999995</v>
      </c>
      <c r="EH1390" s="3"/>
      <c r="GS1390" s="2"/>
      <c r="GT1390" s="4"/>
      <c r="GU1390" s="4"/>
      <c r="GV1390" s="4"/>
      <c r="GW1390" s="4"/>
      <c r="GX1390" s="4"/>
      <c r="GY1390" s="4"/>
      <c r="GZ1390" s="4"/>
      <c r="HA1390" s="4"/>
      <c r="HF1390" s="243"/>
      <c r="HG1390" s="209"/>
    </row>
    <row r="1391" spans="1:256" ht="34.5" customHeight="1" x14ac:dyDescent="0.2">
      <c r="A1391" s="178" t="s">
        <v>265</v>
      </c>
      <c r="B1391" s="285" t="s">
        <v>1680</v>
      </c>
      <c r="C1391" s="277" t="s">
        <v>1681</v>
      </c>
      <c r="D1391" s="295">
        <f>109.88*1.05</f>
        <v>115.37</v>
      </c>
      <c r="E1391" s="16">
        <f t="shared" si="140"/>
        <v>23.07</v>
      </c>
      <c r="F1391" s="164">
        <f t="shared" si="141"/>
        <v>138.44</v>
      </c>
      <c r="EH1391" s="3"/>
      <c r="GS1391" s="2"/>
      <c r="GT1391" s="4"/>
      <c r="GU1391" s="4"/>
      <c r="GV1391" s="4"/>
      <c r="GW1391" s="4"/>
      <c r="GX1391" s="4"/>
      <c r="GY1391" s="4"/>
      <c r="GZ1391" s="4"/>
      <c r="HA1391" s="4"/>
      <c r="HF1391" s="243"/>
      <c r="HG1391" s="209"/>
    </row>
    <row r="1392" spans="1:256" s="77" customFormat="1" ht="34.5" hidden="1" customHeight="1" x14ac:dyDescent="0.2">
      <c r="A1392" s="178" t="s">
        <v>34</v>
      </c>
      <c r="B1392" s="285" t="s">
        <v>1682</v>
      </c>
      <c r="C1392" s="197" t="s">
        <v>1683</v>
      </c>
      <c r="D1392" s="295">
        <v>630.01</v>
      </c>
      <c r="E1392" s="16">
        <f t="shared" si="140"/>
        <v>126</v>
      </c>
      <c r="F1392" s="164">
        <f t="shared" si="141"/>
        <v>756.01</v>
      </c>
      <c r="G1392" s="2"/>
      <c r="EH1392" s="3"/>
      <c r="GS1392" s="2"/>
      <c r="GT1392" s="4"/>
      <c r="GU1392" s="4"/>
      <c r="GV1392" s="4"/>
      <c r="GW1392" s="4"/>
      <c r="GX1392" s="4"/>
      <c r="GY1392" s="4"/>
      <c r="GZ1392" s="4"/>
      <c r="HA1392" s="4"/>
      <c r="HF1392" s="143"/>
      <c r="HG1392" s="254"/>
    </row>
    <row r="1393" spans="1:256" s="77" customFormat="1" ht="34.5" hidden="1" customHeight="1" x14ac:dyDescent="0.2">
      <c r="A1393" s="178" t="s">
        <v>36</v>
      </c>
      <c r="B1393" s="285" t="s">
        <v>1684</v>
      </c>
      <c r="C1393" s="197" t="s">
        <v>1683</v>
      </c>
      <c r="D1393" s="295">
        <f>1733.47*1.05</f>
        <v>1820.14</v>
      </c>
      <c r="E1393" s="16">
        <f t="shared" si="140"/>
        <v>364.03</v>
      </c>
      <c r="F1393" s="164">
        <f t="shared" si="141"/>
        <v>2184.17</v>
      </c>
      <c r="G1393" s="2"/>
      <c r="EH1393" s="3"/>
      <c r="GS1393" s="2"/>
      <c r="GT1393" s="4"/>
      <c r="GU1393" s="4"/>
      <c r="GV1393" s="4"/>
      <c r="GW1393" s="4"/>
      <c r="GX1393" s="4"/>
      <c r="GY1393" s="4"/>
      <c r="GZ1393" s="4"/>
      <c r="HA1393" s="4"/>
      <c r="HF1393" s="143"/>
      <c r="HG1393" s="254"/>
    </row>
    <row r="1394" spans="1:256" ht="34.5" hidden="1" customHeight="1" x14ac:dyDescent="0.2">
      <c r="A1394" s="178" t="s">
        <v>38</v>
      </c>
      <c r="B1394" s="285" t="s">
        <v>1685</v>
      </c>
      <c r="C1394" s="197" t="s">
        <v>1683</v>
      </c>
      <c r="D1394" s="295">
        <f>1770.87*1.05</f>
        <v>1859.41</v>
      </c>
      <c r="E1394" s="16">
        <f t="shared" si="140"/>
        <v>371.88</v>
      </c>
      <c r="F1394" s="164">
        <f t="shared" si="141"/>
        <v>2231.29</v>
      </c>
      <c r="G1394" s="2"/>
      <c r="EH1394" s="3"/>
      <c r="GS1394" s="2"/>
      <c r="GT1394" s="4"/>
      <c r="GU1394" s="4"/>
      <c r="GV1394" s="4"/>
      <c r="GW1394" s="4"/>
      <c r="GX1394" s="4"/>
      <c r="GY1394" s="4"/>
      <c r="GZ1394" s="4"/>
      <c r="HA1394" s="4"/>
      <c r="HF1394" s="253"/>
      <c r="HG1394" s="209"/>
    </row>
    <row r="1395" spans="1:256" s="77" customFormat="1" ht="34.5" hidden="1" customHeight="1" x14ac:dyDescent="0.2">
      <c r="A1395" s="178" t="s">
        <v>41</v>
      </c>
      <c r="B1395" s="285" t="s">
        <v>1686</v>
      </c>
      <c r="C1395" s="197" t="s">
        <v>1683</v>
      </c>
      <c r="D1395" s="295">
        <v>990.22</v>
      </c>
      <c r="E1395" s="16">
        <f t="shared" si="140"/>
        <v>198.04</v>
      </c>
      <c r="F1395" s="164">
        <f t="shared" si="141"/>
        <v>1188.26</v>
      </c>
      <c r="G1395" s="2"/>
      <c r="EH1395" s="3"/>
      <c r="GS1395" s="2"/>
      <c r="GT1395" s="4"/>
      <c r="GU1395" s="4"/>
      <c r="GV1395" s="4"/>
      <c r="GW1395" s="4"/>
      <c r="GX1395" s="4"/>
      <c r="GY1395" s="4"/>
      <c r="GZ1395" s="4"/>
      <c r="HA1395" s="4"/>
      <c r="HF1395" s="143"/>
      <c r="HG1395" s="254"/>
    </row>
    <row r="1396" spans="1:256" ht="38.25" customHeight="1" x14ac:dyDescent="0.2">
      <c r="A1396" s="312" t="s">
        <v>1687</v>
      </c>
      <c r="B1396" s="312"/>
      <c r="C1396" s="312"/>
      <c r="D1396" s="312"/>
      <c r="E1396" s="312"/>
      <c r="F1396" s="312"/>
      <c r="EH1396" s="3"/>
      <c r="GS1396" s="2"/>
      <c r="GT1396" s="4"/>
      <c r="GU1396" s="4"/>
      <c r="GV1396" s="4"/>
      <c r="GW1396" s="4"/>
      <c r="GX1396" s="4"/>
      <c r="GY1396" s="4"/>
      <c r="GZ1396" s="4"/>
      <c r="HA1396" s="4"/>
      <c r="HG1396" s="209"/>
    </row>
    <row r="1397" spans="1:256" ht="37.5" customHeight="1" x14ac:dyDescent="0.2">
      <c r="A1397" s="178" t="s">
        <v>11</v>
      </c>
      <c r="B1397" s="279" t="s">
        <v>1688</v>
      </c>
      <c r="C1397" s="277" t="s">
        <v>1641</v>
      </c>
      <c r="D1397" s="295">
        <f>241.52*1.05</f>
        <v>253.6</v>
      </c>
      <c r="E1397" s="16">
        <f>D1397*20%</f>
        <v>50.72</v>
      </c>
      <c r="F1397" s="164">
        <f>D1397+E1397</f>
        <v>304.32</v>
      </c>
      <c r="EH1397" s="3"/>
      <c r="GS1397" s="2"/>
      <c r="GT1397" s="4"/>
      <c r="GU1397" s="4"/>
      <c r="GV1397" s="4"/>
      <c r="GW1397" s="4"/>
      <c r="GX1397" s="4"/>
      <c r="GY1397" s="4"/>
      <c r="GZ1397" s="4"/>
      <c r="HA1397" s="4"/>
      <c r="HF1397" s="253"/>
      <c r="HG1397" s="209"/>
    </row>
    <row r="1398" spans="1:256" ht="18" customHeight="1" x14ac:dyDescent="0.2">
      <c r="A1398" s="178" t="s">
        <v>23</v>
      </c>
      <c r="B1398" s="313" t="s">
        <v>1689</v>
      </c>
      <c r="C1398" s="313"/>
      <c r="D1398" s="313"/>
      <c r="E1398" s="313"/>
      <c r="F1398" s="313"/>
      <c r="EH1398" s="3"/>
      <c r="GS1398" s="2"/>
      <c r="GT1398" s="4"/>
      <c r="GU1398" s="4"/>
      <c r="GV1398" s="4"/>
      <c r="GW1398" s="4"/>
      <c r="GX1398" s="4"/>
      <c r="GY1398" s="4"/>
      <c r="GZ1398" s="4"/>
      <c r="HA1398" s="4"/>
      <c r="HG1398" s="209"/>
    </row>
    <row r="1399" spans="1:256" ht="20.25" customHeight="1" x14ac:dyDescent="0.2">
      <c r="A1399" s="178" t="s">
        <v>569</v>
      </c>
      <c r="B1399" s="251" t="s">
        <v>1690</v>
      </c>
      <c r="C1399" s="277" t="s">
        <v>1641</v>
      </c>
      <c r="D1399" s="295">
        <f>89.54*1.05</f>
        <v>94.02</v>
      </c>
      <c r="E1399" s="16">
        <f>D1399*20%</f>
        <v>18.8</v>
      </c>
      <c r="F1399" s="164">
        <f>D1399+E1399</f>
        <v>112.82</v>
      </c>
      <c r="EH1399" s="3"/>
      <c r="GS1399" s="2"/>
      <c r="GT1399" s="4"/>
      <c r="GU1399" s="4"/>
      <c r="GV1399" s="4"/>
      <c r="GW1399" s="4"/>
      <c r="GX1399" s="4"/>
      <c r="GY1399" s="4"/>
      <c r="GZ1399" s="4"/>
      <c r="HA1399" s="4"/>
      <c r="HF1399" s="243"/>
      <c r="HG1399" s="209"/>
    </row>
    <row r="1400" spans="1:256" ht="15.75" customHeight="1" x14ac:dyDescent="0.2">
      <c r="A1400" s="288" t="s">
        <v>571</v>
      </c>
      <c r="B1400" s="251" t="s">
        <v>1691</v>
      </c>
      <c r="C1400" s="277" t="s">
        <v>1641</v>
      </c>
      <c r="D1400" s="295">
        <f>132.24*1.04*1.05</f>
        <v>144.41</v>
      </c>
      <c r="E1400" s="16">
        <f>D1400*20%</f>
        <v>28.88</v>
      </c>
      <c r="F1400" s="164">
        <f>D1400+E1400</f>
        <v>173.29</v>
      </c>
      <c r="EH1400" s="3"/>
      <c r="GS1400" s="2"/>
      <c r="GT1400" s="4"/>
      <c r="GU1400" s="4"/>
      <c r="GV1400" s="4"/>
      <c r="GW1400" s="4"/>
      <c r="GX1400" s="4"/>
      <c r="GY1400" s="4"/>
      <c r="GZ1400" s="4"/>
      <c r="HA1400" s="4"/>
      <c r="HF1400" s="243"/>
      <c r="HG1400" s="209"/>
      <c r="IU1400" s="162">
        <v>121.67</v>
      </c>
      <c r="IV1400" s="198">
        <f>121.67*1.045</f>
        <v>127.15</v>
      </c>
    </row>
    <row r="1401" spans="1:256" ht="17.25" customHeight="1" x14ac:dyDescent="0.2">
      <c r="A1401" s="288" t="s">
        <v>573</v>
      </c>
      <c r="B1401" s="251" t="s">
        <v>1692</v>
      </c>
      <c r="C1401" s="277" t="s">
        <v>1641</v>
      </c>
      <c r="D1401" s="295">
        <f>127.46*1.04*1.05</f>
        <v>139.19</v>
      </c>
      <c r="E1401" s="16">
        <f>D1401*20%</f>
        <v>27.84</v>
      </c>
      <c r="F1401" s="164">
        <f>D1401+E1401</f>
        <v>167.03</v>
      </c>
      <c r="EH1401" s="3"/>
      <c r="GS1401" s="2"/>
      <c r="GT1401" s="4"/>
      <c r="GU1401" s="4"/>
      <c r="GV1401" s="4"/>
      <c r="GW1401" s="4"/>
      <c r="GX1401" s="4"/>
      <c r="GY1401" s="4"/>
      <c r="GZ1401" s="4"/>
      <c r="HA1401" s="4"/>
      <c r="HF1401" s="243"/>
      <c r="HG1401" s="209"/>
      <c r="IU1401" s="162">
        <v>117.28</v>
      </c>
      <c r="IV1401" s="198">
        <f>117.28*1.045</f>
        <v>122.56</v>
      </c>
    </row>
    <row r="1402" spans="1:256" ht="23.25" customHeight="1" x14ac:dyDescent="0.2">
      <c r="A1402" s="178" t="s">
        <v>26</v>
      </c>
      <c r="B1402" s="322" t="s">
        <v>1693</v>
      </c>
      <c r="C1402" s="322"/>
      <c r="D1402" s="322"/>
      <c r="E1402" s="322"/>
      <c r="F1402" s="322"/>
      <c r="EH1402" s="3"/>
      <c r="GS1402" s="2"/>
      <c r="GT1402" s="4"/>
      <c r="GU1402" s="4"/>
      <c r="GV1402" s="4"/>
      <c r="GW1402" s="4"/>
      <c r="GX1402" s="4"/>
      <c r="GY1402" s="4"/>
      <c r="GZ1402" s="4"/>
      <c r="HA1402" s="4"/>
      <c r="HG1402" s="209"/>
    </row>
    <row r="1403" spans="1:256" ht="24.75" customHeight="1" x14ac:dyDescent="0.2">
      <c r="A1403" s="288" t="s">
        <v>584</v>
      </c>
      <c r="B1403" s="300" t="s">
        <v>1694</v>
      </c>
      <c r="C1403" s="277" t="s">
        <v>1641</v>
      </c>
      <c r="D1403" s="295">
        <f>31.04*1.04*1.05</f>
        <v>33.9</v>
      </c>
      <c r="E1403" s="16">
        <f t="shared" ref="E1403:E1412" si="142">D1403*20%</f>
        <v>6.78</v>
      </c>
      <c r="F1403" s="164">
        <f>D1403+E1403</f>
        <v>40.68</v>
      </c>
      <c r="EH1403" s="3"/>
      <c r="GS1403" s="2"/>
      <c r="GT1403" s="4"/>
      <c r="GU1403" s="4"/>
      <c r="GV1403" s="4"/>
      <c r="GW1403" s="4"/>
      <c r="GX1403" s="4"/>
      <c r="GY1403" s="4"/>
      <c r="GZ1403" s="4"/>
      <c r="HA1403" s="4"/>
      <c r="HF1403" s="243"/>
      <c r="HG1403" s="209"/>
      <c r="IU1403" s="162">
        <v>28.56</v>
      </c>
      <c r="IV1403" s="198">
        <f>28.56*1.045</f>
        <v>29.85</v>
      </c>
    </row>
    <row r="1404" spans="1:256" ht="26.25" customHeight="1" x14ac:dyDescent="0.2">
      <c r="A1404" s="288" t="s">
        <v>586</v>
      </c>
      <c r="B1404" s="165" t="s">
        <v>1695</v>
      </c>
      <c r="C1404" s="277" t="s">
        <v>1641</v>
      </c>
      <c r="D1404" s="295">
        <f>67.56*1.04*1.05</f>
        <v>73.78</v>
      </c>
      <c r="E1404" s="16">
        <f t="shared" si="142"/>
        <v>14.76</v>
      </c>
      <c r="F1404" s="164">
        <f t="shared" ref="F1404:F1412" si="143">D1404+E1404</f>
        <v>88.54</v>
      </c>
      <c r="EH1404" s="3"/>
      <c r="GS1404" s="2"/>
      <c r="GT1404" s="4"/>
      <c r="GU1404" s="4"/>
      <c r="GV1404" s="4"/>
      <c r="GW1404" s="4"/>
      <c r="GX1404" s="4"/>
      <c r="GY1404" s="4"/>
      <c r="GZ1404" s="4"/>
      <c r="HA1404" s="4"/>
      <c r="HF1404" s="243"/>
      <c r="HG1404" s="209"/>
      <c r="IU1404" s="162">
        <v>62.16</v>
      </c>
      <c r="IV1404" s="198">
        <f>62.16*1.045</f>
        <v>64.959999999999994</v>
      </c>
    </row>
    <row r="1405" spans="1:256" ht="21.75" customHeight="1" x14ac:dyDescent="0.2">
      <c r="A1405" s="288" t="s">
        <v>588</v>
      </c>
      <c r="B1405" s="285" t="s">
        <v>1696</v>
      </c>
      <c r="C1405" s="277" t="s">
        <v>1641</v>
      </c>
      <c r="D1405" s="295">
        <f>78.76*1.04*1.05</f>
        <v>86.01</v>
      </c>
      <c r="E1405" s="16">
        <f t="shared" si="142"/>
        <v>17.2</v>
      </c>
      <c r="F1405" s="164">
        <f>D1405+E1405</f>
        <v>103.21</v>
      </c>
      <c r="EH1405" s="3"/>
      <c r="GS1405" s="2"/>
      <c r="GT1405" s="4"/>
      <c r="GU1405" s="4"/>
      <c r="GV1405" s="4"/>
      <c r="GW1405" s="4"/>
      <c r="GX1405" s="4"/>
      <c r="GY1405" s="4"/>
      <c r="GZ1405" s="4"/>
      <c r="HA1405" s="4"/>
      <c r="HF1405" s="243"/>
      <c r="HG1405" s="209"/>
      <c r="IU1405" s="162">
        <v>72.47</v>
      </c>
      <c r="IV1405" s="198">
        <f>72.47*1.045</f>
        <v>75.73</v>
      </c>
    </row>
    <row r="1406" spans="1:256" ht="17.25" customHeight="1" x14ac:dyDescent="0.2">
      <c r="A1406" s="288" t="s">
        <v>590</v>
      </c>
      <c r="B1406" s="285" t="s">
        <v>1697</v>
      </c>
      <c r="C1406" s="277" t="s">
        <v>1385</v>
      </c>
      <c r="D1406" s="295">
        <f>14.32*1.04*1.05</f>
        <v>15.64</v>
      </c>
      <c r="E1406" s="16">
        <f t="shared" si="142"/>
        <v>3.13</v>
      </c>
      <c r="F1406" s="164">
        <f t="shared" si="143"/>
        <v>18.77</v>
      </c>
      <c r="EH1406" s="3"/>
      <c r="GS1406" s="2"/>
      <c r="GT1406" s="4"/>
      <c r="GU1406" s="4"/>
      <c r="GV1406" s="4"/>
      <c r="GW1406" s="4"/>
      <c r="GX1406" s="4"/>
      <c r="GY1406" s="4"/>
      <c r="GZ1406" s="4"/>
      <c r="HA1406" s="4"/>
      <c r="HF1406" s="243"/>
      <c r="HG1406" s="209"/>
      <c r="IU1406" s="162">
        <v>13.18</v>
      </c>
      <c r="IV1406" s="198">
        <f>13.18*1.045</f>
        <v>13.77</v>
      </c>
    </row>
    <row r="1407" spans="1:256" ht="52.5" customHeight="1" x14ac:dyDescent="0.2">
      <c r="A1407" s="178" t="s">
        <v>28</v>
      </c>
      <c r="B1407" s="279" t="s">
        <v>1698</v>
      </c>
      <c r="C1407" s="277" t="s">
        <v>1647</v>
      </c>
      <c r="D1407" s="295">
        <f>61.94*1.05</f>
        <v>65.040000000000006</v>
      </c>
      <c r="E1407" s="16">
        <f t="shared" si="142"/>
        <v>13.01</v>
      </c>
      <c r="F1407" s="164">
        <f t="shared" si="143"/>
        <v>78.05</v>
      </c>
      <c r="EH1407" s="3"/>
      <c r="GS1407" s="2"/>
      <c r="GT1407" s="4"/>
      <c r="GU1407" s="4"/>
      <c r="GV1407" s="4"/>
      <c r="GW1407" s="4"/>
      <c r="GX1407" s="4"/>
      <c r="GY1407" s="4"/>
      <c r="GZ1407" s="4"/>
      <c r="HA1407" s="4"/>
      <c r="HF1407" s="243"/>
      <c r="HG1407" s="209"/>
    </row>
    <row r="1408" spans="1:256" ht="48" customHeight="1" x14ac:dyDescent="0.2">
      <c r="A1408" s="178" t="s">
        <v>30</v>
      </c>
      <c r="B1408" s="279" t="s">
        <v>1699</v>
      </c>
      <c r="C1408" s="277" t="s">
        <v>1647</v>
      </c>
      <c r="D1408" s="295">
        <f>152.87*1.05</f>
        <v>160.51</v>
      </c>
      <c r="E1408" s="16">
        <f t="shared" si="142"/>
        <v>32.1</v>
      </c>
      <c r="F1408" s="164">
        <f t="shared" si="143"/>
        <v>192.61</v>
      </c>
      <c r="EH1408" s="3"/>
      <c r="GS1408" s="2"/>
      <c r="GT1408" s="4"/>
      <c r="GU1408" s="4"/>
      <c r="GV1408" s="4"/>
      <c r="GW1408" s="4"/>
      <c r="GX1408" s="4"/>
      <c r="GY1408" s="4"/>
      <c r="GZ1408" s="4"/>
      <c r="HA1408" s="4"/>
      <c r="HF1408" s="243"/>
      <c r="HG1408" s="209"/>
    </row>
    <row r="1409" spans="1:256" ht="52.5" customHeight="1" x14ac:dyDescent="0.2">
      <c r="A1409" s="178" t="s">
        <v>32</v>
      </c>
      <c r="B1409" s="279" t="s">
        <v>1700</v>
      </c>
      <c r="C1409" s="277" t="s">
        <v>1647</v>
      </c>
      <c r="D1409" s="295">
        <f>469.43*1.05</f>
        <v>492.9</v>
      </c>
      <c r="E1409" s="16">
        <f t="shared" si="142"/>
        <v>98.58</v>
      </c>
      <c r="F1409" s="164">
        <f t="shared" si="143"/>
        <v>591.48</v>
      </c>
      <c r="EH1409" s="3"/>
      <c r="GS1409" s="2"/>
      <c r="GT1409" s="4"/>
      <c r="GU1409" s="4"/>
      <c r="GV1409" s="4"/>
      <c r="GW1409" s="4"/>
      <c r="GX1409" s="4"/>
      <c r="GY1409" s="4"/>
      <c r="GZ1409" s="4"/>
      <c r="HA1409" s="4"/>
      <c r="HF1409" s="243"/>
      <c r="HG1409" s="209"/>
    </row>
    <row r="1410" spans="1:256" ht="31.5" customHeight="1" x14ac:dyDescent="0.2">
      <c r="A1410" s="178" t="s">
        <v>34</v>
      </c>
      <c r="B1410" s="279" t="s">
        <v>1701</v>
      </c>
      <c r="C1410" s="277" t="s">
        <v>1647</v>
      </c>
      <c r="D1410" s="295">
        <f>103.59*1.04*1.05</f>
        <v>113.12</v>
      </c>
      <c r="E1410" s="16">
        <f t="shared" si="142"/>
        <v>22.62</v>
      </c>
      <c r="F1410" s="164">
        <f t="shared" si="143"/>
        <v>135.74</v>
      </c>
      <c r="EH1410" s="3"/>
      <c r="GS1410" s="2"/>
      <c r="GT1410" s="4"/>
      <c r="GU1410" s="4"/>
      <c r="GV1410" s="4"/>
      <c r="GW1410" s="4"/>
      <c r="GX1410" s="4"/>
      <c r="GY1410" s="4"/>
      <c r="GZ1410" s="4"/>
      <c r="HA1410" s="4"/>
      <c r="HF1410" s="243"/>
      <c r="HG1410" s="209"/>
      <c r="IU1410" s="162">
        <v>95.32</v>
      </c>
      <c r="IV1410" s="198">
        <f>95.32*1.045</f>
        <v>99.61</v>
      </c>
    </row>
    <row r="1411" spans="1:256" ht="44.25" customHeight="1" x14ac:dyDescent="0.2">
      <c r="A1411" s="178" t="s">
        <v>36</v>
      </c>
      <c r="B1411" s="279" t="s">
        <v>1702</v>
      </c>
      <c r="C1411" s="277" t="s">
        <v>1647</v>
      </c>
      <c r="D1411" s="295">
        <f>168.82*1.05</f>
        <v>177.26</v>
      </c>
      <c r="E1411" s="16">
        <f t="shared" si="142"/>
        <v>35.450000000000003</v>
      </c>
      <c r="F1411" s="164">
        <f t="shared" si="143"/>
        <v>212.71</v>
      </c>
      <c r="EH1411" s="3"/>
      <c r="GS1411" s="2"/>
      <c r="GT1411" s="4"/>
      <c r="GU1411" s="4"/>
      <c r="GV1411" s="4"/>
      <c r="GW1411" s="4"/>
      <c r="GX1411" s="4"/>
      <c r="GY1411" s="4"/>
      <c r="GZ1411" s="4"/>
      <c r="HA1411" s="4"/>
      <c r="HF1411" s="243"/>
      <c r="HG1411" s="209"/>
    </row>
    <row r="1412" spans="1:256" s="77" customFormat="1" ht="36.75" hidden="1" customHeight="1" x14ac:dyDescent="0.2">
      <c r="A1412" s="178" t="s">
        <v>38</v>
      </c>
      <c r="B1412" s="285" t="s">
        <v>1703</v>
      </c>
      <c r="C1412" s="197" t="s">
        <v>1683</v>
      </c>
      <c r="D1412" s="295">
        <v>505.02</v>
      </c>
      <c r="E1412" s="16">
        <f t="shared" si="142"/>
        <v>101</v>
      </c>
      <c r="F1412" s="164">
        <f t="shared" si="143"/>
        <v>606.02</v>
      </c>
      <c r="G1412" s="2"/>
      <c r="EH1412" s="3"/>
      <c r="GS1412" s="2"/>
      <c r="GT1412" s="4"/>
      <c r="GU1412" s="4"/>
      <c r="GV1412" s="4"/>
      <c r="GW1412" s="4"/>
      <c r="GX1412" s="4"/>
      <c r="GY1412" s="4"/>
      <c r="GZ1412" s="4"/>
      <c r="HA1412" s="4"/>
      <c r="HF1412" s="143"/>
      <c r="HG1412" s="254"/>
    </row>
    <row r="1413" spans="1:256" ht="29.25" customHeight="1" x14ac:dyDescent="0.2">
      <c r="A1413" s="312" t="s">
        <v>1704</v>
      </c>
      <c r="B1413" s="312"/>
      <c r="C1413" s="312"/>
      <c r="D1413" s="312"/>
      <c r="E1413" s="312"/>
      <c r="F1413" s="312"/>
      <c r="EH1413" s="3"/>
      <c r="GS1413" s="2"/>
      <c r="GT1413" s="4"/>
      <c r="GU1413" s="4"/>
      <c r="GV1413" s="4"/>
      <c r="GW1413" s="4"/>
      <c r="GX1413" s="4"/>
      <c r="GY1413" s="4"/>
      <c r="GZ1413" s="4"/>
      <c r="HA1413" s="4"/>
      <c r="HG1413" s="209"/>
    </row>
    <row r="1414" spans="1:256" ht="18.75" customHeight="1" x14ac:dyDescent="0.2">
      <c r="A1414" s="178" t="s">
        <v>11</v>
      </c>
      <c r="B1414" s="285" t="s">
        <v>1705</v>
      </c>
      <c r="C1414" s="277" t="s">
        <v>1706</v>
      </c>
      <c r="D1414" s="295">
        <f>116.71*1.04*1.05</f>
        <v>127.45</v>
      </c>
      <c r="E1414" s="16">
        <f>D1414*20%</f>
        <v>25.49</v>
      </c>
      <c r="F1414" s="164">
        <f>D1414+E1414</f>
        <v>152.94</v>
      </c>
      <c r="EH1414" s="3"/>
      <c r="GS1414" s="2"/>
      <c r="GT1414" s="4"/>
      <c r="GU1414" s="4"/>
      <c r="GV1414" s="4"/>
      <c r="GW1414" s="4"/>
      <c r="GX1414" s="4"/>
      <c r="GY1414" s="4"/>
      <c r="GZ1414" s="4"/>
      <c r="HA1414" s="4"/>
      <c r="HF1414" s="243"/>
      <c r="HG1414" s="209"/>
      <c r="IU1414" s="162">
        <v>107.39</v>
      </c>
      <c r="IV1414" s="198">
        <f>107.39*1.045</f>
        <v>112.22</v>
      </c>
    </row>
    <row r="1415" spans="1:256" ht="17.25" customHeight="1" x14ac:dyDescent="0.2">
      <c r="A1415" s="178" t="s">
        <v>23</v>
      </c>
      <c r="B1415" s="285" t="s">
        <v>1707</v>
      </c>
      <c r="C1415" s="277" t="s">
        <v>1582</v>
      </c>
      <c r="D1415" s="295">
        <f>87.36*1.04*1.05</f>
        <v>95.4</v>
      </c>
      <c r="E1415" s="16">
        <f>D1415*20%</f>
        <v>19.079999999999998</v>
      </c>
      <c r="F1415" s="164">
        <f>D1415+E1415</f>
        <v>114.48</v>
      </c>
      <c r="EH1415" s="3"/>
      <c r="GS1415" s="2"/>
      <c r="GT1415" s="4"/>
      <c r="GU1415" s="4"/>
      <c r="GV1415" s="4"/>
      <c r="GW1415" s="4"/>
      <c r="GX1415" s="4"/>
      <c r="GY1415" s="4"/>
      <c r="GZ1415" s="4"/>
      <c r="HA1415" s="4"/>
      <c r="HF1415" s="243"/>
      <c r="HG1415" s="209"/>
      <c r="IU1415" s="162">
        <v>80.38</v>
      </c>
      <c r="IV1415" s="198">
        <f>80.38*1.045</f>
        <v>84</v>
      </c>
    </row>
    <row r="1416" spans="1:256" ht="45.75" customHeight="1" x14ac:dyDescent="0.2">
      <c r="A1416" s="312" t="s">
        <v>1708</v>
      </c>
      <c r="B1416" s="312"/>
      <c r="C1416" s="312"/>
      <c r="D1416" s="312"/>
      <c r="E1416" s="312"/>
      <c r="F1416" s="312"/>
      <c r="EH1416" s="3"/>
      <c r="GS1416" s="2"/>
      <c r="GT1416" s="4"/>
      <c r="GU1416" s="4"/>
      <c r="GV1416" s="4"/>
      <c r="GW1416" s="4"/>
      <c r="GX1416" s="4"/>
      <c r="GY1416" s="4"/>
      <c r="GZ1416" s="4"/>
      <c r="HA1416" s="4"/>
      <c r="HG1416" s="209"/>
    </row>
    <row r="1417" spans="1:256" ht="96.75" customHeight="1" x14ac:dyDescent="0.2">
      <c r="A1417" s="178" t="s">
        <v>11</v>
      </c>
      <c r="B1417" s="285" t="s">
        <v>1709</v>
      </c>
      <c r="C1417" s="277" t="s">
        <v>1710</v>
      </c>
      <c r="D1417" s="311">
        <v>1.5</v>
      </c>
      <c r="E1417" s="311"/>
      <c r="F1417" s="311"/>
      <c r="EH1417" s="3"/>
      <c r="GS1417" s="2"/>
      <c r="GT1417" s="4"/>
      <c r="GU1417" s="4"/>
      <c r="GV1417" s="4"/>
      <c r="GW1417" s="4"/>
      <c r="GX1417" s="4"/>
      <c r="GY1417" s="4"/>
      <c r="GZ1417" s="4"/>
      <c r="HA1417" s="4"/>
      <c r="HG1417" s="209"/>
    </row>
    <row r="1418" spans="1:256" ht="33" customHeight="1" x14ac:dyDescent="0.2">
      <c r="A1418" s="178" t="s">
        <v>23</v>
      </c>
      <c r="B1418" s="285" t="s">
        <v>1711</v>
      </c>
      <c r="C1418" s="277" t="s">
        <v>1710</v>
      </c>
      <c r="D1418" s="311">
        <v>2</v>
      </c>
      <c r="E1418" s="311"/>
      <c r="F1418" s="311"/>
      <c r="EH1418" s="3"/>
      <c r="GS1418" s="2"/>
      <c r="GT1418" s="4"/>
      <c r="GU1418" s="4"/>
      <c r="GV1418" s="4"/>
      <c r="GW1418" s="4"/>
      <c r="GX1418" s="4"/>
      <c r="GY1418" s="4"/>
      <c r="GZ1418" s="4"/>
      <c r="HA1418" s="4"/>
      <c r="HG1418" s="209"/>
    </row>
    <row r="1419" spans="1:256" ht="18" customHeight="1" x14ac:dyDescent="0.2">
      <c r="A1419" s="178" t="s">
        <v>26</v>
      </c>
      <c r="B1419" s="313" t="s">
        <v>1712</v>
      </c>
      <c r="C1419" s="313"/>
      <c r="D1419" s="313"/>
      <c r="E1419" s="313"/>
      <c r="F1419" s="313"/>
      <c r="EH1419" s="3"/>
      <c r="GS1419" s="2"/>
      <c r="GT1419" s="4"/>
      <c r="GU1419" s="4"/>
      <c r="GV1419" s="4"/>
      <c r="GW1419" s="4"/>
      <c r="GX1419" s="4"/>
      <c r="GY1419" s="4"/>
      <c r="GZ1419" s="4"/>
      <c r="HA1419" s="4"/>
      <c r="HG1419" s="209"/>
    </row>
    <row r="1420" spans="1:256" ht="16.5" customHeight="1" x14ac:dyDescent="0.2">
      <c r="A1420" s="178" t="s">
        <v>584</v>
      </c>
      <c r="B1420" s="285" t="s">
        <v>1713</v>
      </c>
      <c r="C1420" s="277" t="s">
        <v>1710</v>
      </c>
      <c r="D1420" s="311">
        <v>1.1000000000000001</v>
      </c>
      <c r="E1420" s="311"/>
      <c r="F1420" s="311"/>
      <c r="EH1420" s="3"/>
      <c r="GS1420" s="2"/>
      <c r="GT1420" s="4"/>
      <c r="GU1420" s="4"/>
      <c r="GV1420" s="4"/>
      <c r="GW1420" s="4"/>
      <c r="GX1420" s="4"/>
      <c r="GY1420" s="4"/>
      <c r="GZ1420" s="4"/>
      <c r="HA1420" s="4"/>
      <c r="HG1420" s="209"/>
    </row>
    <row r="1421" spans="1:256" ht="15.75" customHeight="1" x14ac:dyDescent="0.2">
      <c r="A1421" s="178" t="s">
        <v>586</v>
      </c>
      <c r="B1421" s="285" t="s">
        <v>1714</v>
      </c>
      <c r="C1421" s="277" t="s">
        <v>1710</v>
      </c>
      <c r="D1421" s="311">
        <v>1.2</v>
      </c>
      <c r="E1421" s="311"/>
      <c r="F1421" s="311"/>
      <c r="EH1421" s="3"/>
      <c r="GS1421" s="2"/>
      <c r="GT1421" s="4"/>
      <c r="GU1421" s="4"/>
      <c r="GV1421" s="4"/>
      <c r="GW1421" s="4"/>
      <c r="GX1421" s="4"/>
      <c r="GY1421" s="4"/>
      <c r="GZ1421" s="4"/>
      <c r="HA1421" s="4"/>
      <c r="HG1421" s="209"/>
    </row>
    <row r="1422" spans="1:256" ht="31.5" x14ac:dyDescent="0.2">
      <c r="A1422" s="178" t="s">
        <v>588</v>
      </c>
      <c r="B1422" s="285" t="s">
        <v>1715</v>
      </c>
      <c r="C1422" s="277" t="s">
        <v>1710</v>
      </c>
      <c r="D1422" s="311">
        <v>1.3</v>
      </c>
      <c r="E1422" s="311"/>
      <c r="F1422" s="311"/>
      <c r="EH1422" s="3"/>
      <c r="GS1422" s="2"/>
      <c r="GT1422" s="4"/>
      <c r="GU1422" s="4"/>
      <c r="GV1422" s="4"/>
      <c r="GW1422" s="4"/>
      <c r="GX1422" s="4"/>
      <c r="GY1422" s="4"/>
      <c r="GZ1422" s="4"/>
      <c r="HA1422" s="4"/>
      <c r="HG1422" s="209"/>
    </row>
    <row r="1423" spans="1:256" ht="20.25" customHeight="1" x14ac:dyDescent="0.2">
      <c r="A1423" s="178" t="s">
        <v>590</v>
      </c>
      <c r="B1423" s="285" t="s">
        <v>1716</v>
      </c>
      <c r="C1423" s="277" t="s">
        <v>1710</v>
      </c>
      <c r="D1423" s="311">
        <v>1.4</v>
      </c>
      <c r="E1423" s="311"/>
      <c r="F1423" s="311"/>
      <c r="EH1423" s="3"/>
      <c r="GS1423" s="2"/>
      <c r="GT1423" s="4"/>
      <c r="GU1423" s="4"/>
      <c r="GV1423" s="4"/>
      <c r="GW1423" s="4"/>
      <c r="GX1423" s="4"/>
      <c r="GY1423" s="4"/>
      <c r="GZ1423" s="4"/>
      <c r="HA1423" s="4"/>
      <c r="HG1423" s="209"/>
    </row>
    <row r="1424" spans="1:256" ht="18.75" customHeight="1" x14ac:dyDescent="0.2">
      <c r="A1424" s="178" t="s">
        <v>592</v>
      </c>
      <c r="B1424" s="285" t="s">
        <v>1717</v>
      </c>
      <c r="C1424" s="277" t="s">
        <v>1710</v>
      </c>
      <c r="D1424" s="311">
        <v>1.5</v>
      </c>
      <c r="E1424" s="311"/>
      <c r="F1424" s="311"/>
      <c r="EH1424" s="3"/>
      <c r="GS1424" s="2"/>
      <c r="GT1424" s="4"/>
      <c r="GU1424" s="4"/>
      <c r="GV1424" s="4"/>
      <c r="GW1424" s="4"/>
      <c r="GX1424" s="4"/>
      <c r="GY1424" s="4"/>
      <c r="GZ1424" s="4"/>
      <c r="HA1424" s="4"/>
      <c r="HG1424" s="209"/>
    </row>
    <row r="1425" spans="1:215" ht="33" customHeight="1" x14ac:dyDescent="0.2">
      <c r="A1425" s="178" t="s">
        <v>28</v>
      </c>
      <c r="B1425" s="285" t="s">
        <v>1718</v>
      </c>
      <c r="C1425" s="277" t="s">
        <v>1710</v>
      </c>
      <c r="D1425" s="311">
        <v>2</v>
      </c>
      <c r="E1425" s="311"/>
      <c r="F1425" s="311"/>
      <c r="EH1425" s="3"/>
      <c r="GS1425" s="2"/>
      <c r="GT1425" s="4"/>
      <c r="GU1425" s="4"/>
      <c r="GV1425" s="4"/>
      <c r="GW1425" s="4"/>
      <c r="GX1425" s="4"/>
      <c r="GY1425" s="4"/>
      <c r="GZ1425" s="4"/>
      <c r="HA1425" s="4"/>
      <c r="HG1425" s="209"/>
    </row>
    <row r="1426" spans="1:215" ht="32.25" customHeight="1" x14ac:dyDescent="0.2">
      <c r="A1426" s="178" t="s">
        <v>30</v>
      </c>
      <c r="B1426" s="285" t="s">
        <v>1719</v>
      </c>
      <c r="C1426" s="277" t="s">
        <v>1710</v>
      </c>
      <c r="D1426" s="311">
        <v>2</v>
      </c>
      <c r="E1426" s="311"/>
      <c r="F1426" s="311"/>
      <c r="EH1426" s="3"/>
      <c r="GS1426" s="2"/>
      <c r="GT1426" s="4"/>
      <c r="GU1426" s="4"/>
      <c r="GV1426" s="4"/>
      <c r="GW1426" s="4"/>
      <c r="GX1426" s="4"/>
      <c r="GY1426" s="4"/>
      <c r="GZ1426" s="4"/>
      <c r="HA1426" s="4"/>
      <c r="HG1426" s="209"/>
    </row>
    <row r="1427" spans="1:215" ht="33" customHeight="1" x14ac:dyDescent="0.2">
      <c r="A1427" s="178" t="s">
        <v>32</v>
      </c>
      <c r="B1427" s="285" t="s">
        <v>1720</v>
      </c>
      <c r="C1427" s="277" t="s">
        <v>1710</v>
      </c>
      <c r="D1427" s="311">
        <v>2</v>
      </c>
      <c r="E1427" s="311"/>
      <c r="F1427" s="311"/>
      <c r="EH1427" s="3"/>
      <c r="GS1427" s="2"/>
      <c r="GT1427" s="4"/>
      <c r="GU1427" s="4"/>
      <c r="GV1427" s="4"/>
      <c r="GW1427" s="4"/>
      <c r="GX1427" s="4"/>
      <c r="GY1427" s="4"/>
      <c r="GZ1427" s="4"/>
      <c r="HA1427" s="4"/>
      <c r="HG1427" s="209"/>
    </row>
    <row r="1428" spans="1:215" ht="67.5" customHeight="1" x14ac:dyDescent="0.2">
      <c r="A1428" s="178" t="s">
        <v>34</v>
      </c>
      <c r="B1428" s="285" t="s">
        <v>1721</v>
      </c>
      <c r="C1428" s="277" t="s">
        <v>1710</v>
      </c>
      <c r="D1428" s="311" t="s">
        <v>1722</v>
      </c>
      <c r="E1428" s="311"/>
      <c r="F1428" s="311"/>
      <c r="EH1428" s="3"/>
      <c r="GS1428" s="2"/>
      <c r="GT1428" s="4"/>
      <c r="GU1428" s="4"/>
      <c r="GV1428" s="4"/>
      <c r="GW1428" s="4"/>
      <c r="GX1428" s="4"/>
      <c r="GY1428" s="4"/>
      <c r="GZ1428" s="4"/>
      <c r="HA1428" s="4"/>
      <c r="HG1428" s="209"/>
    </row>
    <row r="1429" spans="1:215" ht="50.25" customHeight="1" x14ac:dyDescent="0.2">
      <c r="A1429" s="178" t="s">
        <v>36</v>
      </c>
      <c r="B1429" s="285" t="s">
        <v>1723</v>
      </c>
      <c r="C1429" s="277" t="s">
        <v>1710</v>
      </c>
      <c r="D1429" s="311" t="s">
        <v>1724</v>
      </c>
      <c r="E1429" s="311"/>
      <c r="F1429" s="311"/>
      <c r="EH1429" s="3"/>
      <c r="GS1429" s="2"/>
      <c r="GT1429" s="4"/>
      <c r="GU1429" s="4"/>
      <c r="GV1429" s="4"/>
      <c r="GW1429" s="4"/>
      <c r="GX1429" s="4"/>
      <c r="GY1429" s="4"/>
      <c r="GZ1429" s="4"/>
      <c r="HA1429" s="4"/>
      <c r="HG1429" s="209"/>
    </row>
    <row r="1430" spans="1:215" ht="37.5" customHeight="1" x14ac:dyDescent="0.2">
      <c r="A1430" s="178" t="s">
        <v>38</v>
      </c>
      <c r="B1430" s="285" t="s">
        <v>1725</v>
      </c>
      <c r="C1430" s="277" t="s">
        <v>1710</v>
      </c>
      <c r="D1430" s="311" t="s">
        <v>1724</v>
      </c>
      <c r="E1430" s="311"/>
      <c r="F1430" s="311"/>
      <c r="EH1430" s="3"/>
      <c r="GS1430" s="2"/>
      <c r="GT1430" s="4"/>
      <c r="GU1430" s="4"/>
      <c r="GV1430" s="4"/>
      <c r="GW1430" s="4"/>
      <c r="GX1430" s="4"/>
      <c r="GY1430" s="4"/>
      <c r="GZ1430" s="4"/>
      <c r="HA1430" s="4"/>
      <c r="HG1430" s="209"/>
    </row>
    <row r="1431" spans="1:215" hidden="1" x14ac:dyDescent="0.2">
      <c r="EH1431" s="3"/>
      <c r="GS1431" s="3"/>
      <c r="GT1431" s="4"/>
      <c r="GU1431" s="4"/>
      <c r="GV1431" s="4"/>
      <c r="GW1431" s="4"/>
      <c r="GX1431" s="4"/>
      <c r="GY1431" s="4"/>
      <c r="GZ1431" s="4"/>
      <c r="HA1431" s="4"/>
    </row>
    <row r="1432" spans="1:215" hidden="1" x14ac:dyDescent="0.2">
      <c r="EH1432" s="3"/>
      <c r="GS1432" s="3"/>
      <c r="GT1432" s="4"/>
      <c r="GU1432" s="4"/>
      <c r="GV1432" s="4"/>
      <c r="GW1432" s="4"/>
      <c r="GX1432" s="4"/>
      <c r="GY1432" s="4"/>
      <c r="GZ1432" s="4"/>
      <c r="HA1432" s="4"/>
    </row>
    <row r="1433" spans="1:215" hidden="1" x14ac:dyDescent="0.2">
      <c r="EH1433" s="3"/>
      <c r="GS1433" s="3"/>
      <c r="GT1433" s="4"/>
      <c r="GU1433" s="4"/>
      <c r="GV1433" s="4"/>
      <c r="GW1433" s="4"/>
      <c r="GX1433" s="4"/>
      <c r="GY1433" s="4"/>
      <c r="GZ1433" s="4"/>
      <c r="HA1433" s="4"/>
    </row>
    <row r="1434" spans="1:215" hidden="1" x14ac:dyDescent="0.2">
      <c r="EH1434" s="3"/>
      <c r="GS1434" s="3"/>
      <c r="GT1434" s="4"/>
      <c r="GU1434" s="4"/>
      <c r="GV1434" s="4"/>
      <c r="GW1434" s="4"/>
      <c r="GX1434" s="4"/>
      <c r="GY1434" s="4"/>
      <c r="GZ1434" s="4"/>
      <c r="HA1434" s="4"/>
    </row>
    <row r="1435" spans="1:215" hidden="1" x14ac:dyDescent="0.2">
      <c r="EH1435" s="3"/>
      <c r="GS1435" s="3"/>
      <c r="GT1435" s="4"/>
      <c r="GU1435" s="4"/>
      <c r="GV1435" s="4"/>
      <c r="GW1435" s="4"/>
      <c r="GX1435" s="4"/>
      <c r="GY1435" s="4"/>
      <c r="GZ1435" s="4"/>
      <c r="HA1435" s="4"/>
    </row>
    <row r="1436" spans="1:215" hidden="1" x14ac:dyDescent="0.2">
      <c r="EH1436" s="3"/>
      <c r="GS1436" s="3"/>
      <c r="GT1436" s="4"/>
      <c r="GU1436" s="4"/>
      <c r="GV1436" s="4"/>
      <c r="GW1436" s="4"/>
      <c r="GX1436" s="4"/>
      <c r="GY1436" s="4"/>
      <c r="GZ1436" s="4"/>
      <c r="HA1436" s="4"/>
    </row>
    <row r="1437" spans="1:215" hidden="1" x14ac:dyDescent="0.2">
      <c r="EH1437" s="3"/>
      <c r="GS1437" s="3"/>
      <c r="GT1437" s="4"/>
      <c r="GU1437" s="4"/>
      <c r="GV1437" s="4"/>
      <c r="GW1437" s="4"/>
      <c r="GX1437" s="4"/>
      <c r="GY1437" s="4"/>
      <c r="GZ1437" s="4"/>
      <c r="HA1437" s="4"/>
    </row>
    <row r="1438" spans="1:215" hidden="1" x14ac:dyDescent="0.2">
      <c r="EH1438" s="3"/>
      <c r="GS1438" s="3"/>
      <c r="GT1438" s="4"/>
      <c r="GU1438" s="4"/>
      <c r="GV1438" s="4"/>
      <c r="GW1438" s="4"/>
      <c r="GX1438" s="4"/>
      <c r="GY1438" s="4"/>
      <c r="GZ1438" s="4"/>
      <c r="HA1438" s="4"/>
    </row>
    <row r="1439" spans="1:215" hidden="1" x14ac:dyDescent="0.2">
      <c r="EH1439" s="3"/>
      <c r="GS1439" s="3"/>
      <c r="GT1439" s="4"/>
      <c r="GU1439" s="4"/>
      <c r="GV1439" s="4"/>
      <c r="GW1439" s="4"/>
      <c r="GX1439" s="4"/>
      <c r="GY1439" s="4"/>
      <c r="GZ1439" s="4"/>
      <c r="HA1439" s="4"/>
    </row>
    <row r="1440" spans="1:215" hidden="1" x14ac:dyDescent="0.2">
      <c r="EH1440" s="3"/>
      <c r="GS1440" s="3"/>
      <c r="GT1440" s="4"/>
      <c r="GU1440" s="4"/>
      <c r="GV1440" s="4"/>
      <c r="GW1440" s="4"/>
      <c r="GX1440" s="4"/>
      <c r="GY1440" s="4"/>
      <c r="GZ1440" s="4"/>
      <c r="HA1440" s="4"/>
    </row>
    <row r="1441" spans="138:209" hidden="1" x14ac:dyDescent="0.2">
      <c r="EH1441" s="3"/>
      <c r="GS1441" s="3"/>
      <c r="GT1441" s="4"/>
      <c r="GU1441" s="4"/>
      <c r="GV1441" s="4"/>
      <c r="GW1441" s="4"/>
      <c r="GX1441" s="4"/>
      <c r="GY1441" s="4"/>
      <c r="GZ1441" s="4"/>
      <c r="HA1441" s="4"/>
    </row>
    <row r="1442" spans="138:209" hidden="1" x14ac:dyDescent="0.2">
      <c r="EH1442" s="3"/>
      <c r="GS1442" s="3"/>
      <c r="GT1442" s="4"/>
      <c r="GU1442" s="4"/>
      <c r="GV1442" s="4"/>
      <c r="GW1442" s="4"/>
      <c r="GX1442" s="4"/>
      <c r="GY1442" s="4"/>
      <c r="GZ1442" s="4"/>
      <c r="HA1442" s="4"/>
    </row>
    <row r="1443" spans="138:209" hidden="1" x14ac:dyDescent="0.2">
      <c r="EH1443" s="3"/>
      <c r="GS1443" s="3"/>
      <c r="GT1443" s="4"/>
      <c r="GU1443" s="4"/>
      <c r="GV1443" s="4"/>
      <c r="GW1443" s="4"/>
      <c r="GX1443" s="4"/>
      <c r="GY1443" s="4"/>
      <c r="GZ1443" s="4"/>
      <c r="HA1443" s="4"/>
    </row>
    <row r="1444" spans="138:209" hidden="1" x14ac:dyDescent="0.2">
      <c r="EH1444" s="3"/>
      <c r="GS1444" s="3"/>
      <c r="GT1444" s="4"/>
      <c r="GU1444" s="4"/>
      <c r="GV1444" s="4"/>
      <c r="GW1444" s="4"/>
      <c r="GX1444" s="4"/>
      <c r="GY1444" s="4"/>
      <c r="GZ1444" s="4"/>
      <c r="HA1444" s="4"/>
    </row>
    <row r="1445" spans="138:209" hidden="1" x14ac:dyDescent="0.2">
      <c r="EH1445" s="3"/>
      <c r="GS1445" s="3"/>
      <c r="GT1445" s="4"/>
      <c r="GU1445" s="4"/>
      <c r="GV1445" s="4"/>
      <c r="GW1445" s="4"/>
      <c r="GX1445" s="4"/>
      <c r="GY1445" s="4"/>
      <c r="GZ1445" s="4"/>
      <c r="HA1445" s="4"/>
    </row>
    <row r="1446" spans="138:209" hidden="1" x14ac:dyDescent="0.2">
      <c r="EH1446" s="3"/>
      <c r="GS1446" s="3"/>
      <c r="GT1446" s="4"/>
      <c r="GU1446" s="4"/>
      <c r="GV1446" s="4"/>
      <c r="GW1446" s="4"/>
      <c r="GX1446" s="4"/>
      <c r="GY1446" s="4"/>
      <c r="GZ1446" s="4"/>
      <c r="HA1446" s="4"/>
    </row>
    <row r="1447" spans="138:209" hidden="1" x14ac:dyDescent="0.2">
      <c r="EH1447" s="3"/>
      <c r="GS1447" s="3"/>
      <c r="GT1447" s="4"/>
      <c r="GU1447" s="4"/>
      <c r="GV1447" s="4"/>
      <c r="GW1447" s="4"/>
      <c r="GX1447" s="4"/>
      <c r="GY1447" s="4"/>
      <c r="GZ1447" s="4"/>
      <c r="HA1447" s="4"/>
    </row>
    <row r="1448" spans="138:209" hidden="1" x14ac:dyDescent="0.2">
      <c r="EH1448" s="3"/>
      <c r="GS1448" s="3"/>
      <c r="GT1448" s="4"/>
      <c r="GU1448" s="4"/>
      <c r="GV1448" s="4"/>
      <c r="GW1448" s="4"/>
      <c r="GX1448" s="4"/>
      <c r="GY1448" s="4"/>
      <c r="GZ1448" s="4"/>
      <c r="HA1448" s="4"/>
    </row>
    <row r="1449" spans="138:209" hidden="1" x14ac:dyDescent="0.2">
      <c r="EH1449" s="3"/>
      <c r="GS1449" s="3"/>
      <c r="GT1449" s="4"/>
      <c r="GU1449" s="4"/>
      <c r="GV1449" s="4"/>
      <c r="GW1449" s="4"/>
      <c r="GX1449" s="4"/>
      <c r="GY1449" s="4"/>
      <c r="GZ1449" s="4"/>
      <c r="HA1449" s="4"/>
    </row>
    <row r="1450" spans="138:209" hidden="1" x14ac:dyDescent="0.2">
      <c r="EH1450" s="3"/>
      <c r="GS1450" s="3"/>
      <c r="GT1450" s="4"/>
      <c r="GU1450" s="4"/>
      <c r="GV1450" s="4"/>
      <c r="GW1450" s="4"/>
      <c r="GX1450" s="4"/>
      <c r="GY1450" s="4"/>
      <c r="GZ1450" s="4"/>
      <c r="HA1450" s="4"/>
    </row>
    <row r="1451" spans="138:209" ht="6" hidden="1" customHeight="1" x14ac:dyDescent="0.2">
      <c r="EH1451" s="3"/>
      <c r="GS1451" s="3"/>
      <c r="GT1451" s="4"/>
      <c r="GU1451" s="4"/>
      <c r="GV1451" s="4"/>
      <c r="GW1451" s="4"/>
      <c r="GX1451" s="4"/>
      <c r="GY1451" s="4"/>
      <c r="GZ1451" s="4"/>
      <c r="HA1451" s="4"/>
    </row>
    <row r="1452" spans="138:209" ht="3" hidden="1" customHeight="1" x14ac:dyDescent="0.2">
      <c r="EH1452" s="3"/>
      <c r="GS1452" s="3"/>
      <c r="GT1452" s="4"/>
      <c r="GU1452" s="4"/>
      <c r="GV1452" s="4"/>
      <c r="GW1452" s="4"/>
      <c r="GX1452" s="4"/>
      <c r="GY1452" s="4"/>
      <c r="GZ1452" s="4"/>
      <c r="HA1452" s="4"/>
    </row>
    <row r="1453" spans="138:209" ht="1.5" hidden="1" customHeight="1" x14ac:dyDescent="0.2">
      <c r="EH1453" s="3"/>
      <c r="GS1453" s="3"/>
      <c r="GT1453" s="4"/>
      <c r="GU1453" s="4"/>
      <c r="GV1453" s="4"/>
      <c r="GW1453" s="4"/>
      <c r="GX1453" s="4"/>
      <c r="GY1453" s="4"/>
      <c r="GZ1453" s="4"/>
      <c r="HA1453" s="4"/>
    </row>
    <row r="1454" spans="138:209" ht="5.25" hidden="1" customHeight="1" x14ac:dyDescent="0.2">
      <c r="EH1454" s="3"/>
      <c r="GS1454" s="3"/>
      <c r="GT1454" s="4"/>
      <c r="GU1454" s="4"/>
      <c r="GV1454" s="4"/>
      <c r="GW1454" s="4"/>
      <c r="GX1454" s="4"/>
      <c r="GY1454" s="4"/>
      <c r="GZ1454" s="4"/>
      <c r="HA1454" s="4"/>
    </row>
    <row r="1455" spans="138:209" hidden="1" x14ac:dyDescent="0.2">
      <c r="EH1455" s="3"/>
      <c r="GS1455" s="3"/>
      <c r="GT1455" s="4"/>
      <c r="GU1455" s="4"/>
      <c r="GV1455" s="4"/>
      <c r="GW1455" s="4"/>
      <c r="GX1455" s="4"/>
      <c r="GY1455" s="4"/>
      <c r="GZ1455" s="4"/>
      <c r="HA1455" s="4"/>
    </row>
    <row r="1456" spans="138:209" hidden="1" x14ac:dyDescent="0.2">
      <c r="EH1456" s="3"/>
      <c r="GS1456" s="3"/>
      <c r="GT1456" s="4"/>
      <c r="GU1456" s="4"/>
      <c r="GV1456" s="4"/>
      <c r="GW1456" s="4"/>
      <c r="GX1456" s="4"/>
      <c r="GY1456" s="4"/>
      <c r="GZ1456" s="4"/>
      <c r="HA1456" s="4"/>
    </row>
    <row r="1457" spans="138:209" hidden="1" x14ac:dyDescent="0.2">
      <c r="EH1457" s="3"/>
      <c r="GS1457" s="3"/>
      <c r="GT1457" s="4"/>
      <c r="GU1457" s="4"/>
      <c r="GV1457" s="4"/>
      <c r="GW1457" s="4"/>
      <c r="GX1457" s="4"/>
      <c r="GY1457" s="4"/>
      <c r="GZ1457" s="4"/>
      <c r="HA1457" s="4"/>
    </row>
    <row r="1458" spans="138:209" hidden="1" x14ac:dyDescent="0.2">
      <c r="EH1458" s="3"/>
      <c r="GS1458" s="3"/>
      <c r="GT1458" s="4"/>
      <c r="GU1458" s="4"/>
      <c r="GV1458" s="4"/>
      <c r="GW1458" s="4"/>
      <c r="GX1458" s="4"/>
      <c r="GY1458" s="4"/>
      <c r="GZ1458" s="4"/>
      <c r="HA1458" s="4"/>
    </row>
    <row r="1459" spans="138:209" hidden="1" x14ac:dyDescent="0.2">
      <c r="EH1459" s="3"/>
      <c r="GS1459" s="3"/>
      <c r="GT1459" s="4"/>
      <c r="GU1459" s="4"/>
      <c r="GV1459" s="4"/>
      <c r="GW1459" s="4"/>
      <c r="GX1459" s="4"/>
      <c r="GY1459" s="4"/>
      <c r="GZ1459" s="4"/>
      <c r="HA1459" s="4"/>
    </row>
    <row r="1460" spans="138:209" hidden="1" x14ac:dyDescent="0.2">
      <c r="EH1460" s="3"/>
      <c r="GS1460" s="3"/>
      <c r="GT1460" s="4"/>
      <c r="GU1460" s="4"/>
      <c r="GV1460" s="4"/>
      <c r="GW1460" s="4"/>
      <c r="GX1460" s="4"/>
      <c r="GY1460" s="4"/>
      <c r="GZ1460" s="4"/>
      <c r="HA1460" s="4"/>
    </row>
    <row r="1461" spans="138:209" hidden="1" x14ac:dyDescent="0.2">
      <c r="EH1461" s="3"/>
      <c r="GS1461" s="3"/>
      <c r="GT1461" s="4"/>
      <c r="GU1461" s="4"/>
      <c r="GV1461" s="4"/>
      <c r="GW1461" s="4"/>
      <c r="GX1461" s="4"/>
      <c r="GY1461" s="4"/>
      <c r="GZ1461" s="4"/>
      <c r="HA1461" s="4"/>
    </row>
    <row r="1462" spans="138:209" hidden="1" x14ac:dyDescent="0.2">
      <c r="EH1462" s="3"/>
      <c r="GS1462" s="3"/>
      <c r="GT1462" s="4"/>
      <c r="GU1462" s="4"/>
      <c r="GV1462" s="4"/>
      <c r="GW1462" s="4"/>
      <c r="GX1462" s="4"/>
      <c r="GY1462" s="4"/>
      <c r="GZ1462" s="4"/>
      <c r="HA1462" s="4"/>
    </row>
    <row r="1463" spans="138:209" hidden="1" x14ac:dyDescent="0.2">
      <c r="EH1463" s="3"/>
      <c r="GS1463" s="3"/>
      <c r="GT1463" s="4"/>
      <c r="GU1463" s="4"/>
      <c r="GV1463" s="4"/>
      <c r="GW1463" s="4"/>
      <c r="GX1463" s="4"/>
      <c r="GY1463" s="4"/>
      <c r="GZ1463" s="4"/>
      <c r="HA1463" s="4"/>
    </row>
    <row r="1464" spans="138:209" hidden="1" x14ac:dyDescent="0.2">
      <c r="EH1464" s="3"/>
      <c r="GS1464" s="3"/>
      <c r="GT1464" s="4"/>
      <c r="GU1464" s="4"/>
      <c r="GV1464" s="4"/>
      <c r="GW1464" s="4"/>
      <c r="GX1464" s="4"/>
      <c r="GY1464" s="4"/>
      <c r="GZ1464" s="4"/>
      <c r="HA1464" s="4"/>
    </row>
    <row r="1465" spans="138:209" hidden="1" x14ac:dyDescent="0.2">
      <c r="EH1465" s="3"/>
      <c r="GS1465" s="3"/>
      <c r="GT1465" s="4"/>
      <c r="GU1465" s="4"/>
      <c r="GV1465" s="4"/>
      <c r="GW1465" s="4"/>
      <c r="GX1465" s="4"/>
      <c r="GY1465" s="4"/>
      <c r="GZ1465" s="4"/>
      <c r="HA1465" s="4"/>
    </row>
    <row r="1466" spans="138:209" hidden="1" x14ac:dyDescent="0.2">
      <c r="EH1466" s="3"/>
      <c r="GS1466" s="3"/>
      <c r="GT1466" s="4"/>
      <c r="GU1466" s="4"/>
      <c r="GV1466" s="4"/>
      <c r="GW1466" s="4"/>
      <c r="GX1466" s="4"/>
      <c r="GY1466" s="4"/>
      <c r="GZ1466" s="4"/>
      <c r="HA1466" s="4"/>
    </row>
    <row r="1467" spans="138:209" hidden="1" x14ac:dyDescent="0.2">
      <c r="EH1467" s="3"/>
      <c r="GS1467" s="3"/>
      <c r="GT1467" s="4"/>
      <c r="GU1467" s="4"/>
      <c r="GV1467" s="4"/>
      <c r="GW1467" s="4"/>
      <c r="GX1467" s="4"/>
      <c r="GY1467" s="4"/>
      <c r="GZ1467" s="4"/>
      <c r="HA1467" s="4"/>
    </row>
    <row r="1468" spans="138:209" ht="56.25" hidden="1" customHeight="1" x14ac:dyDescent="0.2">
      <c r="EH1468" s="3"/>
      <c r="GS1468" s="3"/>
      <c r="GT1468" s="4"/>
      <c r="GU1468" s="4"/>
      <c r="GV1468" s="4"/>
      <c r="GW1468" s="4"/>
      <c r="GX1468" s="4"/>
      <c r="GY1468" s="4"/>
      <c r="GZ1468" s="4"/>
      <c r="HA1468" s="4"/>
    </row>
    <row r="1469" spans="138:209" ht="56.25" hidden="1" customHeight="1" x14ac:dyDescent="0.2">
      <c r="EH1469" s="3"/>
      <c r="GS1469" s="3"/>
      <c r="GT1469" s="4"/>
      <c r="GU1469" s="4"/>
      <c r="GV1469" s="4"/>
      <c r="GW1469" s="4"/>
      <c r="GX1469" s="4"/>
      <c r="GY1469" s="4"/>
      <c r="GZ1469" s="4"/>
      <c r="HA1469" s="4"/>
    </row>
    <row r="1470" spans="138:209" ht="56.25" hidden="1" customHeight="1" x14ac:dyDescent="0.2">
      <c r="EH1470" s="3"/>
      <c r="GS1470" s="3"/>
      <c r="GT1470" s="4"/>
      <c r="GU1470" s="4"/>
      <c r="GV1470" s="4"/>
      <c r="GW1470" s="4"/>
      <c r="GX1470" s="4"/>
      <c r="GY1470" s="4"/>
      <c r="GZ1470" s="4"/>
      <c r="HA1470" s="4"/>
    </row>
    <row r="1471" spans="138:209" ht="56.25" hidden="1" customHeight="1" x14ac:dyDescent="0.2">
      <c r="EH1471" s="3"/>
      <c r="GS1471" s="3"/>
      <c r="GT1471" s="4"/>
      <c r="GU1471" s="4"/>
      <c r="GV1471" s="4"/>
      <c r="GW1471" s="4"/>
      <c r="GX1471" s="4"/>
      <c r="GY1471" s="4"/>
      <c r="GZ1471" s="4"/>
      <c r="HA1471" s="4"/>
    </row>
    <row r="1472" spans="138:209" ht="56.25" hidden="1" customHeight="1" x14ac:dyDescent="0.2">
      <c r="EH1472" s="3"/>
      <c r="GS1472" s="3"/>
      <c r="GT1472" s="4"/>
      <c r="GU1472" s="4"/>
      <c r="GV1472" s="4"/>
      <c r="GW1472" s="4"/>
      <c r="GX1472" s="4"/>
      <c r="GY1472" s="4"/>
      <c r="GZ1472" s="4"/>
      <c r="HA1472" s="4"/>
    </row>
    <row r="1473" spans="1:209" ht="288" hidden="1" customHeight="1" x14ac:dyDescent="0.2">
      <c r="EH1473" s="3"/>
      <c r="GS1473" s="2"/>
      <c r="GT1473" s="4"/>
      <c r="GU1473" s="4"/>
      <c r="GV1473" s="4"/>
      <c r="GW1473" s="4"/>
      <c r="GX1473" s="4"/>
      <c r="GY1473" s="4"/>
      <c r="GZ1473" s="4"/>
      <c r="HA1473" s="4"/>
    </row>
    <row r="1474" spans="1:209" ht="50.25" customHeight="1" x14ac:dyDescent="0.2">
      <c r="A1474" s="314"/>
      <c r="B1474" s="314"/>
      <c r="C1474" s="314"/>
      <c r="D1474" s="314"/>
      <c r="E1474" s="314"/>
      <c r="F1474" s="314"/>
      <c r="G1474" s="314"/>
      <c r="EH1474" s="3"/>
      <c r="GS1474" s="2"/>
      <c r="GT1474" s="4"/>
      <c r="GU1474" s="4"/>
      <c r="GV1474" s="4"/>
      <c r="GW1474" s="4"/>
      <c r="GX1474" s="4"/>
      <c r="GY1474" s="4"/>
      <c r="GZ1474" s="4"/>
      <c r="HA1474" s="4"/>
    </row>
    <row r="1475" spans="1:209" ht="27" customHeight="1" x14ac:dyDescent="0.2">
      <c r="A1475" s="314" t="s">
        <v>1731</v>
      </c>
      <c r="B1475" s="314"/>
      <c r="C1475" s="314"/>
      <c r="D1475" s="314"/>
      <c r="E1475" s="314"/>
      <c r="F1475" s="314"/>
      <c r="G1475" s="314"/>
      <c r="EH1475" s="259"/>
      <c r="EI1475" s="4"/>
      <c r="EJ1475" s="4"/>
      <c r="EK1475" s="4"/>
      <c r="EL1475" s="4"/>
      <c r="EM1475" s="4"/>
      <c r="EN1475" s="4"/>
      <c r="EO1475" s="4"/>
      <c r="EP1475" s="4"/>
    </row>
    <row r="1476" spans="1:209" ht="13.5" customHeight="1" x14ac:dyDescent="0.2">
      <c r="A1476" s="259"/>
      <c r="B1476" s="259"/>
      <c r="C1476" s="259"/>
      <c r="D1476" s="259"/>
      <c r="E1476" s="259"/>
      <c r="F1476" s="259"/>
      <c r="EH1476" s="259"/>
      <c r="EI1476" s="4"/>
      <c r="EJ1476" s="4"/>
      <c r="EK1476" s="4"/>
      <c r="EL1476" s="4"/>
      <c r="EM1476" s="4"/>
      <c r="EN1476" s="4"/>
      <c r="EO1476" s="4"/>
      <c r="EP1476" s="4"/>
    </row>
    <row r="1477" spans="1:209" ht="70.5" customHeight="1" x14ac:dyDescent="0.2">
      <c r="A1477" s="178" t="s">
        <v>1343</v>
      </c>
      <c r="B1477" s="278" t="s">
        <v>1072</v>
      </c>
      <c r="C1477" s="278" t="s">
        <v>6</v>
      </c>
      <c r="D1477" s="157" t="s">
        <v>1726</v>
      </c>
      <c r="E1477" s="296" t="s">
        <v>7</v>
      </c>
      <c r="F1477" s="8" t="s">
        <v>8</v>
      </c>
      <c r="G1477" s="296" t="s">
        <v>9</v>
      </c>
      <c r="EH1477" s="259"/>
      <c r="EI1477" s="4"/>
      <c r="EJ1477" s="4"/>
      <c r="EK1477" s="4"/>
      <c r="EL1477" s="4"/>
      <c r="EM1477" s="4"/>
      <c r="EN1477" s="4"/>
      <c r="EO1477" s="4"/>
      <c r="EP1477" s="4"/>
    </row>
    <row r="1478" spans="1:209" ht="18.75" customHeight="1" x14ac:dyDescent="0.2">
      <c r="A1478" s="178">
        <v>1</v>
      </c>
      <c r="B1478" s="242">
        <v>2</v>
      </c>
      <c r="C1478" s="242">
        <v>3</v>
      </c>
      <c r="D1478" s="178" t="s">
        <v>198</v>
      </c>
      <c r="E1478" s="242">
        <v>5</v>
      </c>
      <c r="F1478" s="242">
        <v>6</v>
      </c>
      <c r="G1478" s="178" t="s">
        <v>275</v>
      </c>
      <c r="EH1478" s="259"/>
      <c r="EI1478" s="4"/>
      <c r="EJ1478" s="4"/>
      <c r="EK1478" s="4"/>
      <c r="EL1478" s="4"/>
      <c r="EM1478" s="4"/>
      <c r="EN1478" s="4"/>
      <c r="EO1478" s="4"/>
      <c r="EP1478" s="4"/>
    </row>
    <row r="1479" spans="1:209" ht="55.5" customHeight="1" x14ac:dyDescent="0.2">
      <c r="A1479" s="178" t="s">
        <v>11</v>
      </c>
      <c r="B1479" s="285" t="s">
        <v>1732</v>
      </c>
      <c r="C1479" s="277" t="s">
        <v>1733</v>
      </c>
      <c r="D1479" s="271" t="s">
        <v>1728</v>
      </c>
      <c r="E1479" s="295">
        <f>754.56*1.05</f>
        <v>792.29</v>
      </c>
      <c r="F1479" s="16">
        <f>E1479*20%</f>
        <v>158.46</v>
      </c>
      <c r="G1479" s="164">
        <f>E1479+F1479</f>
        <v>950.75</v>
      </c>
      <c r="EH1479" s="3"/>
    </row>
    <row r="1480" spans="1:209" ht="46.5" customHeight="1" x14ac:dyDescent="0.2">
      <c r="A1480" s="178" t="s">
        <v>23</v>
      </c>
      <c r="B1480" s="285" t="s">
        <v>1734</v>
      </c>
      <c r="C1480" s="277" t="s">
        <v>1706</v>
      </c>
      <c r="D1480" s="271" t="s">
        <v>1728</v>
      </c>
      <c r="E1480" s="295">
        <f>34.92*1.05</f>
        <v>36.67</v>
      </c>
      <c r="F1480" s="16">
        <f>E1480*20%</f>
        <v>7.33</v>
      </c>
      <c r="G1480" s="164">
        <f>E1480+F1480</f>
        <v>44</v>
      </c>
      <c r="EH1480" s="3"/>
    </row>
    <row r="1481" spans="1:209" ht="52.5" customHeight="1" x14ac:dyDescent="0.2">
      <c r="A1481" s="318" t="s">
        <v>1735</v>
      </c>
      <c r="B1481" s="318"/>
      <c r="C1481" s="318"/>
      <c r="D1481" s="318"/>
      <c r="E1481" s="318"/>
      <c r="F1481" s="318"/>
      <c r="G1481" s="318"/>
      <c r="EH1481" s="3"/>
    </row>
    <row r="1482" spans="1:209" ht="39" customHeight="1" x14ac:dyDescent="0.2">
      <c r="A1482" s="272"/>
      <c r="B1482" s="231"/>
      <c r="C1482" s="190"/>
      <c r="D1482" s="273"/>
      <c r="E1482" s="143"/>
      <c r="F1482" s="163"/>
      <c r="G1482" s="229"/>
      <c r="EH1482" s="3"/>
    </row>
    <row r="1483" spans="1:209" ht="47.25" customHeight="1" x14ac:dyDescent="0.2">
      <c r="A1483" s="319" t="s">
        <v>1865</v>
      </c>
      <c r="B1483" s="319"/>
      <c r="C1483" s="319"/>
      <c r="D1483" s="319"/>
      <c r="E1483" s="319"/>
      <c r="F1483" s="319"/>
      <c r="G1483" s="319"/>
      <c r="EH1483" s="3"/>
    </row>
    <row r="1484" spans="1:209" ht="136.5" customHeight="1" x14ac:dyDescent="0.2">
      <c r="A1484" s="280" t="s">
        <v>11</v>
      </c>
      <c r="B1484" s="281" t="s">
        <v>1863</v>
      </c>
      <c r="C1484" s="282" t="s">
        <v>1727</v>
      </c>
      <c r="D1484" s="258" t="s">
        <v>1729</v>
      </c>
      <c r="E1484" s="145">
        <v>3500</v>
      </c>
      <c r="F1484" s="16">
        <f t="shared" ref="F1484:F1486" si="144">E1484*20%</f>
        <v>700</v>
      </c>
      <c r="G1484" s="145">
        <f t="shared" ref="G1484:G1486" si="145">E1484+F1484</f>
        <v>4200</v>
      </c>
      <c r="EH1484" s="3"/>
    </row>
    <row r="1485" spans="1:209" ht="29.25" customHeight="1" x14ac:dyDescent="0.2">
      <c r="A1485" s="315" t="s">
        <v>23</v>
      </c>
      <c r="B1485" s="316" t="s">
        <v>1864</v>
      </c>
      <c r="C1485" s="317" t="s">
        <v>1727</v>
      </c>
      <c r="D1485" s="258" t="s">
        <v>1729</v>
      </c>
      <c r="E1485" s="145">
        <v>3500</v>
      </c>
      <c r="F1485" s="16">
        <f t="shared" si="144"/>
        <v>700</v>
      </c>
      <c r="G1485" s="145">
        <f t="shared" si="145"/>
        <v>4200</v>
      </c>
      <c r="EH1485" s="3"/>
    </row>
    <row r="1486" spans="1:209" ht="108.75" customHeight="1" x14ac:dyDescent="0.2">
      <c r="A1486" s="315"/>
      <c r="B1486" s="316"/>
      <c r="C1486" s="317"/>
      <c r="D1486" s="139" t="s">
        <v>1730</v>
      </c>
      <c r="E1486" s="145">
        <v>4000</v>
      </c>
      <c r="F1486" s="16">
        <f t="shared" si="144"/>
        <v>800</v>
      </c>
      <c r="G1486" s="145">
        <f t="shared" si="145"/>
        <v>4800</v>
      </c>
      <c r="EH1486" s="3"/>
    </row>
    <row r="1487" spans="1:209" s="265" customFormat="1" ht="75.75" customHeight="1" x14ac:dyDescent="0.2">
      <c r="A1487" s="318"/>
      <c r="B1487" s="318"/>
      <c r="C1487" s="318"/>
      <c r="D1487" s="318"/>
      <c r="E1487" s="318"/>
      <c r="F1487" s="318"/>
      <c r="G1487" s="318"/>
      <c r="EH1487" s="264"/>
    </row>
    <row r="1488" spans="1:209" s="265" customFormat="1" x14ac:dyDescent="0.2">
      <c r="A1488" s="274"/>
      <c r="B1488" s="275"/>
      <c r="C1488" s="274"/>
      <c r="D1488" s="274"/>
      <c r="E1488" s="276"/>
      <c r="F1488" s="274"/>
      <c r="G1488" s="264"/>
      <c r="EH1488" s="264"/>
    </row>
    <row r="1489" spans="1:138" s="265" customFormat="1" x14ac:dyDescent="0.2">
      <c r="A1489" s="274"/>
      <c r="B1489" s="275"/>
      <c r="C1489" s="274"/>
      <c r="D1489" s="274"/>
      <c r="E1489" s="276"/>
      <c r="F1489" s="274"/>
      <c r="G1489" s="264"/>
      <c r="EH1489" s="264"/>
    </row>
    <row r="1490" spans="1:138" s="265" customFormat="1" x14ac:dyDescent="0.2">
      <c r="A1490" s="274"/>
      <c r="B1490" s="275"/>
      <c r="C1490" s="274"/>
      <c r="D1490" s="274"/>
      <c r="E1490" s="276"/>
      <c r="F1490" s="274"/>
      <c r="G1490" s="264"/>
      <c r="EH1490" s="264"/>
    </row>
    <row r="1491" spans="1:138" s="265" customFormat="1" x14ac:dyDescent="0.2">
      <c r="A1491" s="274"/>
      <c r="B1491" s="275"/>
      <c r="C1491" s="274"/>
      <c r="D1491" s="274"/>
      <c r="E1491" s="276"/>
      <c r="F1491" s="274"/>
      <c r="G1491" s="264"/>
      <c r="EH1491" s="264"/>
    </row>
    <row r="1492" spans="1:138" s="265" customFormat="1" x14ac:dyDescent="0.2">
      <c r="A1492" s="274"/>
      <c r="B1492" s="275"/>
      <c r="C1492" s="274"/>
      <c r="D1492" s="274"/>
      <c r="E1492" s="276"/>
      <c r="F1492" s="274"/>
      <c r="G1492" s="264"/>
      <c r="EH1492" s="264"/>
    </row>
    <row r="1493" spans="1:138" s="265" customFormat="1" x14ac:dyDescent="0.2">
      <c r="A1493" s="274"/>
      <c r="B1493" s="275"/>
      <c r="C1493" s="274"/>
      <c r="D1493" s="274"/>
      <c r="E1493" s="276"/>
      <c r="F1493" s="274"/>
      <c r="G1493" s="264"/>
      <c r="EH1493" s="264"/>
    </row>
    <row r="1494" spans="1:138" s="265" customFormat="1" x14ac:dyDescent="0.2">
      <c r="A1494" s="274"/>
      <c r="B1494" s="275"/>
      <c r="C1494" s="274"/>
      <c r="D1494" s="274"/>
      <c r="E1494" s="276"/>
      <c r="F1494" s="274"/>
      <c r="G1494" s="264"/>
      <c r="EH1494" s="264"/>
    </row>
    <row r="1495" spans="1:138" s="265" customFormat="1" x14ac:dyDescent="0.2">
      <c r="A1495" s="274"/>
      <c r="B1495" s="275"/>
      <c r="C1495" s="274"/>
      <c r="D1495" s="274"/>
      <c r="E1495" s="276"/>
      <c r="F1495" s="274"/>
      <c r="G1495" s="264"/>
      <c r="EH1495" s="264"/>
    </row>
    <row r="1496" spans="1:138" x14ac:dyDescent="0.2">
      <c r="EH1496" s="3"/>
    </row>
    <row r="1497" spans="1:138" x14ac:dyDescent="0.2">
      <c r="EH1497" s="3"/>
    </row>
    <row r="1498" spans="1:138" x14ac:dyDescent="0.2">
      <c r="EH1498" s="3"/>
    </row>
  </sheetData>
  <mergeCells count="335">
    <mergeCell ref="A77:G77"/>
    <mergeCell ref="A78:G78"/>
    <mergeCell ref="A79:G79"/>
    <mergeCell ref="A80:G80"/>
    <mergeCell ref="A81:G81"/>
    <mergeCell ref="A82:G82"/>
    <mergeCell ref="A90:G90"/>
    <mergeCell ref="A92:G92"/>
    <mergeCell ref="A91:G91"/>
    <mergeCell ref="I95:J95"/>
    <mergeCell ref="A96:A101"/>
    <mergeCell ref="B96:B101"/>
    <mergeCell ref="A83:G83"/>
    <mergeCell ref="A84:G84"/>
    <mergeCell ref="A85:G85"/>
    <mergeCell ref="E86:G86"/>
    <mergeCell ref="E87:G87"/>
    <mergeCell ref="A89:G89"/>
    <mergeCell ref="A120:A125"/>
    <mergeCell ref="B120:B125"/>
    <mergeCell ref="A126:A131"/>
    <mergeCell ref="B126:B131"/>
    <mergeCell ref="A132:A136"/>
    <mergeCell ref="B132:B136"/>
    <mergeCell ref="A102:A107"/>
    <mergeCell ref="B102:B107"/>
    <mergeCell ref="A108:A113"/>
    <mergeCell ref="B108:B113"/>
    <mergeCell ref="A114:A119"/>
    <mergeCell ref="B114:B119"/>
    <mergeCell ref="A153:A157"/>
    <mergeCell ref="B153:B157"/>
    <mergeCell ref="A158:A162"/>
    <mergeCell ref="B158:B162"/>
    <mergeCell ref="A163:A166"/>
    <mergeCell ref="B163:B166"/>
    <mergeCell ref="A137:A142"/>
    <mergeCell ref="B137:B142"/>
    <mergeCell ref="A143:A147"/>
    <mergeCell ref="B143:B147"/>
    <mergeCell ref="A148:A152"/>
    <mergeCell ref="B148:B152"/>
    <mergeCell ref="A182:A186"/>
    <mergeCell ref="B182:B186"/>
    <mergeCell ref="A187:A191"/>
    <mergeCell ref="B187:B191"/>
    <mergeCell ref="A192:A197"/>
    <mergeCell ref="B192:B197"/>
    <mergeCell ref="A167:A171"/>
    <mergeCell ref="B167:B171"/>
    <mergeCell ref="A172:A176"/>
    <mergeCell ref="B172:B176"/>
    <mergeCell ref="A177:A181"/>
    <mergeCell ref="B177:B181"/>
    <mergeCell ref="B222:C222"/>
    <mergeCell ref="B223:C223"/>
    <mergeCell ref="B224:C224"/>
    <mergeCell ref="B225:C225"/>
    <mergeCell ref="B226:C226"/>
    <mergeCell ref="B227:C227"/>
    <mergeCell ref="A198:A202"/>
    <mergeCell ref="B198:B202"/>
    <mergeCell ref="A203:A207"/>
    <mergeCell ref="B203:B207"/>
    <mergeCell ref="B220:G220"/>
    <mergeCell ref="B221:C221"/>
    <mergeCell ref="B234:C234"/>
    <mergeCell ref="B235:C235"/>
    <mergeCell ref="B236:C236"/>
    <mergeCell ref="B237:C237"/>
    <mergeCell ref="A239:H239"/>
    <mergeCell ref="B238:C238"/>
    <mergeCell ref="B228:C228"/>
    <mergeCell ref="B229:C229"/>
    <mergeCell ref="B230:C230"/>
    <mergeCell ref="B231:C231"/>
    <mergeCell ref="B232:C232"/>
    <mergeCell ref="B233:G233"/>
    <mergeCell ref="C250:D250"/>
    <mergeCell ref="C252:D252"/>
    <mergeCell ref="A254:G254"/>
    <mergeCell ref="A255:G255"/>
    <mergeCell ref="C257:D257"/>
    <mergeCell ref="C258:D258"/>
    <mergeCell ref="CE239:CL239"/>
    <mergeCell ref="A241:G241"/>
    <mergeCell ref="C243:D243"/>
    <mergeCell ref="C244:D244"/>
    <mergeCell ref="C246:D246"/>
    <mergeCell ref="C248:D248"/>
    <mergeCell ref="C245:D245"/>
    <mergeCell ref="C247:D247"/>
    <mergeCell ref="C249:D249"/>
    <mergeCell ref="C251:D251"/>
    <mergeCell ref="A266:G266"/>
    <mergeCell ref="A270:A273"/>
    <mergeCell ref="B270:B273"/>
    <mergeCell ref="A274:A277"/>
    <mergeCell ref="B274:B277"/>
    <mergeCell ref="A278:A281"/>
    <mergeCell ref="B278:B281"/>
    <mergeCell ref="C259:D259"/>
    <mergeCell ref="C260:D260"/>
    <mergeCell ref="C261:D261"/>
    <mergeCell ref="C262:D262"/>
    <mergeCell ref="C263:D263"/>
    <mergeCell ref="C264:D264"/>
    <mergeCell ref="A294:A297"/>
    <mergeCell ref="B294:B297"/>
    <mergeCell ref="A298:A301"/>
    <mergeCell ref="B298:B301"/>
    <mergeCell ref="A302:A304"/>
    <mergeCell ref="B302:B304"/>
    <mergeCell ref="A282:A286"/>
    <mergeCell ref="B282:B286"/>
    <mergeCell ref="C282:C283"/>
    <mergeCell ref="A287:A290"/>
    <mergeCell ref="B287:B290"/>
    <mergeCell ref="A291:A293"/>
    <mergeCell ref="B291:B293"/>
    <mergeCell ref="A316:A319"/>
    <mergeCell ref="B316:B319"/>
    <mergeCell ref="A320:A323"/>
    <mergeCell ref="B320:B323"/>
    <mergeCell ref="A325:A328"/>
    <mergeCell ref="B325:B328"/>
    <mergeCell ref="A305:A307"/>
    <mergeCell ref="B305:B307"/>
    <mergeCell ref="A308:A311"/>
    <mergeCell ref="B308:B311"/>
    <mergeCell ref="A312:A315"/>
    <mergeCell ref="B312:B315"/>
    <mergeCell ref="A354:A360"/>
    <mergeCell ref="B354:B360"/>
    <mergeCell ref="A361:A367"/>
    <mergeCell ref="B361:B367"/>
    <mergeCell ref="C368:D368"/>
    <mergeCell ref="C369:D369"/>
    <mergeCell ref="A329:B329"/>
    <mergeCell ref="A331:G332"/>
    <mergeCell ref="B336:F336"/>
    <mergeCell ref="A343:G343"/>
    <mergeCell ref="A347:A352"/>
    <mergeCell ref="B347:B352"/>
    <mergeCell ref="F376:G376"/>
    <mergeCell ref="A377:G377"/>
    <mergeCell ref="F378:G378"/>
    <mergeCell ref="F379:G379"/>
    <mergeCell ref="F380:G380"/>
    <mergeCell ref="A382:F382"/>
    <mergeCell ref="C370:D370"/>
    <mergeCell ref="A371:G371"/>
    <mergeCell ref="F372:G372"/>
    <mergeCell ref="F373:G373"/>
    <mergeCell ref="F374:G374"/>
    <mergeCell ref="F375:G375"/>
    <mergeCell ref="B429:F429"/>
    <mergeCell ref="B432:F432"/>
    <mergeCell ref="B447:F447"/>
    <mergeCell ref="B452:F452"/>
    <mergeCell ref="B468:F468"/>
    <mergeCell ref="AK478:AO478"/>
    <mergeCell ref="A385:F385"/>
    <mergeCell ref="A386:F386"/>
    <mergeCell ref="B389:F389"/>
    <mergeCell ref="B400:F400"/>
    <mergeCell ref="B408:F408"/>
    <mergeCell ref="B418:F418"/>
    <mergeCell ref="B575:F575"/>
    <mergeCell ref="B581:F581"/>
    <mergeCell ref="B582:F582"/>
    <mergeCell ref="B608:F608"/>
    <mergeCell ref="B613:F613"/>
    <mergeCell ref="B618:F618"/>
    <mergeCell ref="BK481:BK482"/>
    <mergeCell ref="B493:F493"/>
    <mergeCell ref="B512:F512"/>
    <mergeCell ref="B548:F548"/>
    <mergeCell ref="B555:F555"/>
    <mergeCell ref="B572:F572"/>
    <mergeCell ref="B546:F546"/>
    <mergeCell ref="B662:F662"/>
    <mergeCell ref="B665:F665"/>
    <mergeCell ref="B675:F675"/>
    <mergeCell ref="B690:F690"/>
    <mergeCell ref="B704:F704"/>
    <mergeCell ref="B733:F733"/>
    <mergeCell ref="B620:F620"/>
    <mergeCell ref="B627:F627"/>
    <mergeCell ref="B629:F629"/>
    <mergeCell ref="B645:F645"/>
    <mergeCell ref="B647:F647"/>
    <mergeCell ref="B660:F660"/>
    <mergeCell ref="B811:F811"/>
    <mergeCell ref="B815:F815"/>
    <mergeCell ref="A820:F820"/>
    <mergeCell ref="B821:F821"/>
    <mergeCell ref="B823:F823"/>
    <mergeCell ref="B826:F826"/>
    <mergeCell ref="B739:F739"/>
    <mergeCell ref="B746:F746"/>
    <mergeCell ref="B751:F751"/>
    <mergeCell ref="B784:F784"/>
    <mergeCell ref="B797:F797"/>
    <mergeCell ref="B807:F807"/>
    <mergeCell ref="B845:F845"/>
    <mergeCell ref="B847:F847"/>
    <mergeCell ref="B849:F849"/>
    <mergeCell ref="B851:F851"/>
    <mergeCell ref="B853:F853"/>
    <mergeCell ref="A879:G879"/>
    <mergeCell ref="B829:F829"/>
    <mergeCell ref="B832:F832"/>
    <mergeCell ref="B834:F834"/>
    <mergeCell ref="B837:F837"/>
    <mergeCell ref="B839:F839"/>
    <mergeCell ref="B842:F842"/>
    <mergeCell ref="B913:F913"/>
    <mergeCell ref="B928:F928"/>
    <mergeCell ref="B947:F947"/>
    <mergeCell ref="B951:F951"/>
    <mergeCell ref="B957:F957"/>
    <mergeCell ref="B961:F961"/>
    <mergeCell ref="B883:F883"/>
    <mergeCell ref="B888:F888"/>
    <mergeCell ref="B892:F892"/>
    <mergeCell ref="B895:F895"/>
    <mergeCell ref="B903:F903"/>
    <mergeCell ref="B909:F909"/>
    <mergeCell ref="IT1074:IT1078"/>
    <mergeCell ref="B1081:F1081"/>
    <mergeCell ref="B1089:F1089"/>
    <mergeCell ref="A1112:F1112"/>
    <mergeCell ref="B1122:F1122"/>
    <mergeCell ref="GS1129:GS1131"/>
    <mergeCell ref="B967:F967"/>
    <mergeCell ref="B973:F973"/>
    <mergeCell ref="A1014:F1014"/>
    <mergeCell ref="A1018:F1018"/>
    <mergeCell ref="B1051:F1051"/>
    <mergeCell ref="A1073:F1073"/>
    <mergeCell ref="EH1138:EH1141"/>
    <mergeCell ref="A1143:F1143"/>
    <mergeCell ref="A1146:F1146"/>
    <mergeCell ref="A1154:F1154"/>
    <mergeCell ref="B1155:F1155"/>
    <mergeCell ref="B1156:F1156"/>
    <mergeCell ref="B1132:F1132"/>
    <mergeCell ref="A1138:A1141"/>
    <mergeCell ref="C1138:C1141"/>
    <mergeCell ref="D1138:D1139"/>
    <mergeCell ref="E1138:E1139"/>
    <mergeCell ref="F1138:F1139"/>
    <mergeCell ref="B1184:F1184"/>
    <mergeCell ref="B1194:F1194"/>
    <mergeCell ref="B1197:F1197"/>
    <mergeCell ref="B1200:F1200"/>
    <mergeCell ref="B1204:F1204"/>
    <mergeCell ref="B1208:F1208"/>
    <mergeCell ref="B1162:F1162"/>
    <mergeCell ref="B1167:F1167"/>
    <mergeCell ref="B1168:F1168"/>
    <mergeCell ref="B1172:F1172"/>
    <mergeCell ref="B1176:F1176"/>
    <mergeCell ref="B1180:F1180"/>
    <mergeCell ref="A1240:A1241"/>
    <mergeCell ref="A1209:A1219"/>
    <mergeCell ref="B1209:F1209"/>
    <mergeCell ref="B1210:F1210"/>
    <mergeCell ref="B1211:F1211"/>
    <mergeCell ref="B1212:F1212"/>
    <mergeCell ref="B1213:F1213"/>
    <mergeCell ref="B1214:F1214"/>
    <mergeCell ref="B1215:F1215"/>
    <mergeCell ref="B1216:F1216"/>
    <mergeCell ref="B1217:F1217"/>
    <mergeCell ref="B1250:F1250"/>
    <mergeCell ref="B1253:F1253"/>
    <mergeCell ref="B1266:F1266"/>
    <mergeCell ref="B1279:F1279"/>
    <mergeCell ref="B1282:F1282"/>
    <mergeCell ref="B1292:F1292"/>
    <mergeCell ref="B1218:F1218"/>
    <mergeCell ref="B1219:F1219"/>
    <mergeCell ref="B1223:F1223"/>
    <mergeCell ref="B1226:F1226"/>
    <mergeCell ref="B1237:F1237"/>
    <mergeCell ref="B1330:F1330"/>
    <mergeCell ref="B1335:F1335"/>
    <mergeCell ref="B1341:F1341"/>
    <mergeCell ref="A1349:F1349"/>
    <mergeCell ref="B1351:F1351"/>
    <mergeCell ref="B1355:F1355"/>
    <mergeCell ref="B1293:F1293"/>
    <mergeCell ref="B1305:F1305"/>
    <mergeCell ref="A1309:F1309"/>
    <mergeCell ref="B1310:F1310"/>
    <mergeCell ref="B1319:F1319"/>
    <mergeCell ref="B1323:F1323"/>
    <mergeCell ref="B1383:F1383"/>
    <mergeCell ref="B1387:F1387"/>
    <mergeCell ref="B1389:F1389"/>
    <mergeCell ref="A1396:F1396"/>
    <mergeCell ref="B1398:F1398"/>
    <mergeCell ref="B1402:F1402"/>
    <mergeCell ref="B1360:F1360"/>
    <mergeCell ref="A1366:F1366"/>
    <mergeCell ref="B1367:F1367"/>
    <mergeCell ref="B1368:F1368"/>
    <mergeCell ref="B1371:F1371"/>
    <mergeCell ref="B1379:F1379"/>
    <mergeCell ref="D1427:F1427"/>
    <mergeCell ref="D1428:F1428"/>
    <mergeCell ref="D1429:F1429"/>
    <mergeCell ref="D1430:F1430"/>
    <mergeCell ref="A1474:G1474"/>
    <mergeCell ref="A1485:A1486"/>
    <mergeCell ref="B1485:B1486"/>
    <mergeCell ref="C1485:C1486"/>
    <mergeCell ref="A1487:G1487"/>
    <mergeCell ref="A1475:G1475"/>
    <mergeCell ref="A1481:G1481"/>
    <mergeCell ref="A1483:G1483"/>
    <mergeCell ref="D1421:F1421"/>
    <mergeCell ref="D1422:F1422"/>
    <mergeCell ref="D1423:F1423"/>
    <mergeCell ref="D1424:F1424"/>
    <mergeCell ref="D1425:F1425"/>
    <mergeCell ref="D1426:F1426"/>
    <mergeCell ref="A1413:F1413"/>
    <mergeCell ref="A1416:F1416"/>
    <mergeCell ref="D1417:F1417"/>
    <mergeCell ref="D1418:F1418"/>
    <mergeCell ref="B1419:F1419"/>
    <mergeCell ref="D1420:F1420"/>
  </mergeCells>
  <pageMargins left="0.78740157480314965" right="0.39370078740157483" top="0.59055118110236227" bottom="0.39370078740157483" header="0.31496062992125984" footer="0.31496062992125984"/>
  <pageSetup paperSize="9" scale="75" firstPageNumber="0" orientation="portrait" horizontalDpi="300" verticalDpi="300" r:id="rId1"/>
  <headerFooter alignWithMargins="0">
    <oddFooter xml:space="preserve">&amp;CСтраница  &amp;P&amp;R
</oddFooter>
  </headerFooter>
  <rowBreaks count="2" manualBreakCount="2">
    <brk id="254" max="8" man="1"/>
    <brk id="1473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прайс на 2021г. ПД </vt:lpstr>
      <vt:lpstr>' прайс на 2021г. ПД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Пользователь Windows</cp:lastModifiedBy>
  <cp:lastPrinted>2021-11-12T11:08:54Z</cp:lastPrinted>
  <dcterms:created xsi:type="dcterms:W3CDTF">2020-02-17T12:03:43Z</dcterms:created>
  <dcterms:modified xsi:type="dcterms:W3CDTF">2021-11-15T06:12:11Z</dcterms:modified>
</cp:coreProperties>
</file>