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2C0BF093-7CE1-4B09-BD8F-73CA0191F43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 прайс на 2023г. ПД " sheetId="6" r:id="rId1"/>
    <sheet name=" прайс на 2023г. ГЗ " sheetId="5" r:id="rId2"/>
  </sheets>
  <definedNames>
    <definedName name="_xlnm.Print_Area" localSheetId="1">' прайс на 2023г. ГЗ '!$A$1:$F$1452</definedName>
    <definedName name="_xlnm.Print_Area" localSheetId="0">' прайс на 2023г. ПД '!$A$1:$I$1569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000" i="6" l="1"/>
  <c r="D850" i="5"/>
  <c r="E1193" i="6" l="1"/>
  <c r="F1193" i="6" s="1"/>
  <c r="E1192" i="6"/>
  <c r="F1192" i="6" s="1"/>
  <c r="E1191" i="6"/>
  <c r="F1191" i="6" s="1"/>
  <c r="E1190" i="6"/>
  <c r="F1190" i="6" s="1"/>
  <c r="D668" i="6"/>
  <c r="E606" i="6"/>
  <c r="F606" i="6" s="1"/>
  <c r="E605" i="6"/>
  <c r="F605" i="6" s="1"/>
  <c r="E604" i="6"/>
  <c r="F604" i="6" s="1"/>
  <c r="E603" i="6"/>
  <c r="F603" i="6" s="1"/>
  <c r="E602" i="6"/>
  <c r="F602" i="6" s="1"/>
  <c r="E601" i="6"/>
  <c r="F601" i="6" s="1"/>
  <c r="E600" i="6"/>
  <c r="F600" i="6" s="1"/>
  <c r="E599" i="6"/>
  <c r="F599" i="6" s="1"/>
  <c r="E598" i="6"/>
  <c r="F598" i="6" s="1"/>
  <c r="E597" i="6"/>
  <c r="F597" i="6" s="1"/>
  <c r="E596" i="6"/>
  <c r="F596" i="6" s="1"/>
  <c r="E210" i="6"/>
  <c r="E210" i="5"/>
  <c r="E673" i="6" l="1"/>
  <c r="F673" i="6" s="1"/>
  <c r="E427" i="6" l="1"/>
  <c r="F427" i="6" l="1"/>
  <c r="E428" i="6"/>
  <c r="F428" i="6" s="1"/>
  <c r="E514" i="6"/>
  <c r="F514" i="6" s="1"/>
  <c r="E226" i="5" l="1"/>
  <c r="E224" i="5"/>
  <c r="E98" i="5"/>
  <c r="E98" i="6"/>
  <c r="D1447" i="6" l="1"/>
  <c r="D1566" i="6"/>
  <c r="D1565" i="6"/>
  <c r="D1564" i="6"/>
  <c r="D1563" i="6"/>
  <c r="D1562" i="6"/>
  <c r="D1561" i="6"/>
  <c r="D1560" i="6"/>
  <c r="D1559" i="6"/>
  <c r="D1558" i="6"/>
  <c r="D1557" i="6"/>
  <c r="D1556" i="6"/>
  <c r="D1555" i="6"/>
  <c r="D1554" i="6"/>
  <c r="D1552" i="6"/>
  <c r="E1545" i="6"/>
  <c r="E1544" i="6"/>
  <c r="E1543" i="6"/>
  <c r="E1540" i="6"/>
  <c r="E1539" i="6"/>
  <c r="E1538" i="6"/>
  <c r="D1467" i="6"/>
  <c r="E1445" i="6" l="1"/>
  <c r="F1445" i="6" s="1"/>
  <c r="E1443" i="6"/>
  <c r="F1443" i="6" s="1"/>
  <c r="E1441" i="6"/>
  <c r="F1441" i="6" s="1"/>
  <c r="D1474" i="6" l="1"/>
  <c r="D1473" i="6"/>
  <c r="D1470" i="6"/>
  <c r="D1469" i="6"/>
  <c r="D1468" i="6"/>
  <c r="D1466" i="6"/>
  <c r="D1465" i="6"/>
  <c r="D1464" i="6"/>
  <c r="D1463" i="6"/>
  <c r="D1462" i="6"/>
  <c r="D1460" i="6"/>
  <c r="D1459" i="6"/>
  <c r="D1458" i="6"/>
  <c r="D1456" i="6"/>
  <c r="D1450" i="6"/>
  <c r="D1449" i="6"/>
  <c r="D1438" i="6"/>
  <c r="D1437" i="6"/>
  <c r="D1436" i="6"/>
  <c r="D1434" i="6"/>
  <c r="D1433" i="6"/>
  <c r="D1432" i="6"/>
  <c r="D1431" i="6"/>
  <c r="D1430" i="6"/>
  <c r="D1429" i="6"/>
  <c r="D1428" i="6"/>
  <c r="D1426" i="6"/>
  <c r="D1425" i="6"/>
  <c r="D1420" i="6"/>
  <c r="D1419" i="6"/>
  <c r="D1418" i="6"/>
  <c r="D1417" i="6"/>
  <c r="D1415" i="6"/>
  <c r="D1414" i="6"/>
  <c r="D1413" i="6"/>
  <c r="D1412" i="6"/>
  <c r="D1410" i="6"/>
  <c r="D1409" i="6"/>
  <c r="D1408" i="6"/>
  <c r="D1406" i="6"/>
  <c r="D1404" i="6"/>
  <c r="D1403" i="6"/>
  <c r="D1402" i="6"/>
  <c r="D1401" i="6"/>
  <c r="D1400" i="6"/>
  <c r="D1399" i="6"/>
  <c r="D1398" i="6"/>
  <c r="D1396" i="6"/>
  <c r="D1395" i="6"/>
  <c r="D1394" i="6"/>
  <c r="D1393" i="6"/>
  <c r="D1392" i="6"/>
  <c r="D1390" i="6"/>
  <c r="D1389" i="6"/>
  <c r="D1388" i="6"/>
  <c r="D1387" i="6"/>
  <c r="D1385" i="6"/>
  <c r="D1384" i="6"/>
  <c r="D1383" i="6"/>
  <c r="D1382" i="6"/>
  <c r="D1381" i="6"/>
  <c r="D1380" i="6"/>
  <c r="D1378" i="6"/>
  <c r="D1377" i="6"/>
  <c r="D1376" i="6"/>
  <c r="D1374" i="6"/>
  <c r="D1373" i="6"/>
  <c r="D1372" i="6"/>
  <c r="D1371" i="6"/>
  <c r="D1370" i="6"/>
  <c r="D1369" i="6"/>
  <c r="D1368" i="6"/>
  <c r="D1367" i="6"/>
  <c r="D1364" i="6"/>
  <c r="D1363" i="6"/>
  <c r="D1362" i="6"/>
  <c r="D1360" i="6"/>
  <c r="D1359" i="6"/>
  <c r="D1358" i="6"/>
  <c r="D1357" i="6"/>
  <c r="D1356" i="6"/>
  <c r="D1355" i="6"/>
  <c r="D1354" i="6"/>
  <c r="D1353" i="6"/>
  <c r="D1352" i="6"/>
  <c r="D1351" i="6"/>
  <c r="D1350" i="6"/>
  <c r="D1347" i="6"/>
  <c r="D1346" i="6"/>
  <c r="D1345" i="6"/>
  <c r="D1344" i="6"/>
  <c r="D1343" i="6"/>
  <c r="D1342" i="6"/>
  <c r="D1341" i="6"/>
  <c r="D1340" i="6"/>
  <c r="D1339" i="6"/>
  <c r="D1337" i="6"/>
  <c r="D1336" i="6"/>
  <c r="D1334" i="6"/>
  <c r="D1333" i="6"/>
  <c r="D1332" i="6"/>
  <c r="D1331" i="6"/>
  <c r="D1321" i="6"/>
  <c r="D1320" i="6" l="1"/>
  <c r="D1319" i="6"/>
  <c r="D1318" i="6"/>
  <c r="D1317" i="6"/>
  <c r="D1316" i="6"/>
  <c r="D1315" i="6"/>
  <c r="D1314" i="6"/>
  <c r="D1313" i="6"/>
  <c r="D1312" i="6"/>
  <c r="D1311" i="6"/>
  <c r="D1310" i="6"/>
  <c r="D1308" i="6"/>
  <c r="D1307" i="6"/>
  <c r="D1305" i="6"/>
  <c r="D1304" i="6"/>
  <c r="D1303" i="6"/>
  <c r="D1302" i="6"/>
  <c r="D1301" i="6"/>
  <c r="D1300" i="6"/>
  <c r="D1298" i="6"/>
  <c r="D1297" i="6"/>
  <c r="D1296" i="6"/>
  <c r="D1295" i="6"/>
  <c r="D1294" i="6"/>
  <c r="D1286" i="6"/>
  <c r="D1292" i="6"/>
  <c r="D1288" i="6"/>
  <c r="D1299" i="6" l="1"/>
  <c r="D1291" i="6"/>
  <c r="D1290" i="6"/>
  <c r="D1289" i="6"/>
  <c r="D1287" i="6"/>
  <c r="D1285" i="6" l="1"/>
  <c r="D1284" i="6"/>
  <c r="D1283" i="6"/>
  <c r="D1281" i="6"/>
  <c r="D1280" i="6"/>
  <c r="D1278" i="6"/>
  <c r="D1277" i="6"/>
  <c r="D1276" i="6"/>
  <c r="D1263" i="6"/>
  <c r="D1262" i="6"/>
  <c r="D1261" i="6"/>
  <c r="D1259" i="6"/>
  <c r="D1258" i="6"/>
  <c r="D1257" i="6"/>
  <c r="D1255" i="6"/>
  <c r="D1254" i="6"/>
  <c r="D1252" i="6"/>
  <c r="D1251" i="6"/>
  <c r="D1249" i="6"/>
  <c r="D1248" i="6"/>
  <c r="D1247" i="6"/>
  <c r="D1246" i="6"/>
  <c r="D1245" i="6"/>
  <c r="D1244" i="6"/>
  <c r="D1243" i="6"/>
  <c r="D1242" i="6"/>
  <c r="D1241" i="6"/>
  <c r="D1239" i="6"/>
  <c r="D1238" i="6"/>
  <c r="D1237" i="6"/>
  <c r="D1235" i="6"/>
  <c r="D1234" i="6"/>
  <c r="D1233" i="6"/>
  <c r="D1231" i="6"/>
  <c r="D1230" i="6"/>
  <c r="D1229" i="6"/>
  <c r="D1227" i="6"/>
  <c r="D1226" i="6"/>
  <c r="D1225" i="6"/>
  <c r="D1222" i="6"/>
  <c r="D1221" i="6"/>
  <c r="D1220" i="6"/>
  <c r="D1219" i="6"/>
  <c r="D1217" i="6"/>
  <c r="D1216" i="6"/>
  <c r="D1215" i="6"/>
  <c r="D1214" i="6"/>
  <c r="D1213" i="6"/>
  <c r="D1209" i="6"/>
  <c r="D1208" i="6"/>
  <c r="D1207" i="6"/>
  <c r="D1206" i="6"/>
  <c r="D1204" i="6"/>
  <c r="D1203" i="6"/>
  <c r="D1437" i="5"/>
  <c r="D1436" i="5"/>
  <c r="D1435" i="5"/>
  <c r="D1434" i="5"/>
  <c r="D1433" i="5"/>
  <c r="D1432" i="5"/>
  <c r="D1431" i="5"/>
  <c r="D1429" i="5"/>
  <c r="D1426" i="5"/>
  <c r="D1425" i="5"/>
  <c r="D1424" i="5"/>
  <c r="D1423" i="5"/>
  <c r="D1422" i="5"/>
  <c r="D1420" i="5"/>
  <c r="D1409" i="5"/>
  <c r="D1408" i="5"/>
  <c r="D1407" i="5"/>
  <c r="D1406" i="5"/>
  <c r="D1404" i="5"/>
  <c r="D1399" i="5"/>
  <c r="D1398" i="5"/>
  <c r="D1397" i="5"/>
  <c r="D1395" i="5"/>
  <c r="D1394" i="5"/>
  <c r="D1392" i="5"/>
  <c r="D1391" i="5"/>
  <c r="D1390" i="5"/>
  <c r="D1388" i="5"/>
  <c r="D1288" i="5"/>
  <c r="D1286" i="5"/>
  <c r="D1285" i="5"/>
  <c r="D1284" i="5"/>
  <c r="D1276" i="5"/>
  <c r="D1274" i="5"/>
  <c r="D1272" i="5"/>
  <c r="D1271" i="5"/>
  <c r="D1270" i="5"/>
  <c r="D1268" i="5"/>
  <c r="D1267" i="5"/>
  <c r="D1265" i="5"/>
  <c r="D1251" i="5"/>
  <c r="D1254" i="5"/>
  <c r="D1250" i="5"/>
  <c r="D1249" i="5"/>
  <c r="D1248" i="5"/>
  <c r="D1244" i="5"/>
  <c r="D1238" i="5"/>
  <c r="D1237" i="5"/>
  <c r="D1235" i="5"/>
  <c r="D1233" i="5"/>
  <c r="D1231" i="5"/>
  <c r="D1224" i="5"/>
  <c r="D1411" i="5"/>
  <c r="D1228" i="5"/>
  <c r="D1227" i="5"/>
  <c r="D1226" i="5"/>
  <c r="D380" i="6" l="1"/>
  <c r="D379" i="6"/>
  <c r="D378" i="6"/>
  <c r="D377" i="6"/>
  <c r="D376" i="6"/>
  <c r="E359" i="6"/>
  <c r="E358" i="6"/>
  <c r="E356" i="6"/>
  <c r="E355" i="6"/>
  <c r="E354" i="6"/>
  <c r="E353" i="6"/>
  <c r="F353" i="6" s="1"/>
  <c r="G353" i="6" s="1"/>
  <c r="E352" i="6"/>
  <c r="F352" i="6" s="1"/>
  <c r="G352" i="6" s="1"/>
  <c r="E351" i="6"/>
  <c r="E350" i="6"/>
  <c r="E349" i="6"/>
  <c r="E348" i="6"/>
  <c r="E347" i="6"/>
  <c r="E346" i="6"/>
  <c r="E345" i="6"/>
  <c r="E344" i="6"/>
  <c r="E343" i="6"/>
  <c r="E342" i="6"/>
  <c r="E341" i="6"/>
  <c r="E340" i="6"/>
  <c r="F340" i="6" s="1"/>
  <c r="G340" i="6" s="1"/>
  <c r="E339" i="6"/>
  <c r="E338" i="6"/>
  <c r="E337" i="6"/>
  <c r="E336" i="6"/>
  <c r="E330" i="6"/>
  <c r="E329" i="6"/>
  <c r="E328" i="6"/>
  <c r="E327" i="6"/>
  <c r="E326" i="6"/>
  <c r="E325" i="6"/>
  <c r="E324" i="6"/>
  <c r="E323" i="6"/>
  <c r="E322" i="6"/>
  <c r="E321" i="6"/>
  <c r="E320" i="6"/>
  <c r="E319" i="6"/>
  <c r="E318" i="6"/>
  <c r="E317" i="6"/>
  <c r="E316" i="6"/>
  <c r="E315" i="6"/>
  <c r="E314" i="6"/>
  <c r="E313" i="6"/>
  <c r="E312" i="6"/>
  <c r="E311" i="6"/>
  <c r="F311" i="6" s="1"/>
  <c r="G311" i="6" s="1"/>
  <c r="E310" i="6"/>
  <c r="E309" i="6"/>
  <c r="E308" i="6"/>
  <c r="E307" i="6"/>
  <c r="E306" i="6"/>
  <c r="E305" i="6"/>
  <c r="E304" i="6"/>
  <c r="E303" i="6"/>
  <c r="E302" i="6"/>
  <c r="E301" i="6"/>
  <c r="E300" i="6"/>
  <c r="E299" i="6"/>
  <c r="F299" i="6" s="1"/>
  <c r="G299" i="6" s="1"/>
  <c r="E298" i="6"/>
  <c r="E297" i="6"/>
  <c r="E296" i="6"/>
  <c r="E295" i="6"/>
  <c r="E294" i="6"/>
  <c r="E293" i="6"/>
  <c r="E292" i="6"/>
  <c r="E291" i="6"/>
  <c r="E290" i="6"/>
  <c r="E289" i="6"/>
  <c r="E288" i="6"/>
  <c r="F288" i="6" s="1"/>
  <c r="G288" i="6" s="1"/>
  <c r="E287" i="6"/>
  <c r="F287" i="6" s="1"/>
  <c r="G287" i="6" s="1"/>
  <c r="E286" i="6"/>
  <c r="E285" i="6"/>
  <c r="E284" i="6"/>
  <c r="E283" i="6"/>
  <c r="E282" i="6"/>
  <c r="E281" i="6"/>
  <c r="E280" i="6"/>
  <c r="E279" i="6"/>
  <c r="E278" i="6"/>
  <c r="E277" i="6"/>
  <c r="E276" i="6"/>
  <c r="E275" i="6"/>
  <c r="E274" i="6"/>
  <c r="E273" i="6"/>
  <c r="E272" i="6"/>
  <c r="E266" i="6"/>
  <c r="E265" i="6"/>
  <c r="E264" i="6"/>
  <c r="E263" i="6"/>
  <c r="E262" i="6"/>
  <c r="E261" i="6"/>
  <c r="E260" i="6"/>
  <c r="E254" i="6"/>
  <c r="E253" i="6"/>
  <c r="E252" i="6"/>
  <c r="E251" i="6"/>
  <c r="E250" i="6"/>
  <c r="F250" i="6" s="1"/>
  <c r="G250" i="6" s="1"/>
  <c r="E249" i="6"/>
  <c r="F249" i="6" s="1"/>
  <c r="G249" i="6" s="1"/>
  <c r="E248" i="6"/>
  <c r="E247" i="6"/>
  <c r="F247" i="6" s="1"/>
  <c r="G247" i="6" s="1"/>
  <c r="E240" i="6"/>
  <c r="E239" i="6"/>
  <c r="E238" i="6"/>
  <c r="F238" i="6" s="1"/>
  <c r="G238" i="6" s="1"/>
  <c r="E237" i="6"/>
  <c r="E236" i="6"/>
  <c r="F236" i="6" s="1"/>
  <c r="G236" i="6" s="1"/>
  <c r="E234" i="6"/>
  <c r="E233" i="6"/>
  <c r="F233" i="6" s="1"/>
  <c r="G233" i="6" s="1"/>
  <c r="E232" i="6"/>
  <c r="E231" i="6"/>
  <c r="E230" i="6"/>
  <c r="E229" i="6"/>
  <c r="E228" i="6"/>
  <c r="E227" i="6"/>
  <c r="E226" i="6"/>
  <c r="E225" i="6"/>
  <c r="E224" i="6"/>
  <c r="F224" i="6" s="1"/>
  <c r="G224" i="6" s="1"/>
  <c r="E223" i="6"/>
  <c r="E221" i="6"/>
  <c r="E220" i="6"/>
  <c r="E219" i="6"/>
  <c r="E218" i="6"/>
  <c r="F218" i="6" s="1"/>
  <c r="G218" i="6" s="1"/>
  <c r="E217" i="6"/>
  <c r="F217" i="6" s="1"/>
  <c r="G217" i="6" s="1"/>
  <c r="E216" i="6"/>
  <c r="E215" i="6"/>
  <c r="E214" i="6"/>
  <c r="E213" i="6"/>
  <c r="E212" i="6"/>
  <c r="E211" i="6"/>
  <c r="F210" i="6"/>
  <c r="E209" i="6"/>
  <c r="E208" i="6"/>
  <c r="E207" i="6"/>
  <c r="E206" i="6"/>
  <c r="E205" i="6"/>
  <c r="E204" i="6"/>
  <c r="E203" i="6"/>
  <c r="E202" i="6"/>
  <c r="E201" i="6"/>
  <c r="E200" i="6"/>
  <c r="E199" i="6"/>
  <c r="E198" i="6"/>
  <c r="E197" i="6"/>
  <c r="E196" i="6"/>
  <c r="E195" i="6"/>
  <c r="E194" i="6"/>
  <c r="E193" i="6"/>
  <c r="E192" i="6"/>
  <c r="F192" i="6" s="1"/>
  <c r="G192" i="6" s="1"/>
  <c r="E191" i="6"/>
  <c r="E190" i="6"/>
  <c r="E189" i="6"/>
  <c r="E188" i="6"/>
  <c r="E187" i="6"/>
  <c r="E186" i="6"/>
  <c r="J186" i="6" s="1"/>
  <c r="E185" i="6"/>
  <c r="E184" i="6"/>
  <c r="E183" i="6"/>
  <c r="E182" i="6"/>
  <c r="I182" i="6" s="1"/>
  <c r="E181" i="6"/>
  <c r="E180" i="6"/>
  <c r="I180" i="6" s="1"/>
  <c r="E179" i="6"/>
  <c r="J179" i="6" s="1"/>
  <c r="E178" i="6"/>
  <c r="E177" i="6"/>
  <c r="E176" i="6"/>
  <c r="E175" i="6"/>
  <c r="I175" i="6" s="1"/>
  <c r="E174" i="6"/>
  <c r="J174" i="6" s="1"/>
  <c r="E173" i="6"/>
  <c r="E172" i="6"/>
  <c r="E171" i="6"/>
  <c r="E170" i="6"/>
  <c r="F170" i="6" s="1"/>
  <c r="E169" i="6"/>
  <c r="E168" i="6"/>
  <c r="E167" i="6"/>
  <c r="I167" i="6" s="1"/>
  <c r="E166" i="6"/>
  <c r="E165" i="6"/>
  <c r="E164" i="6"/>
  <c r="E163" i="6"/>
  <c r="E162" i="6"/>
  <c r="E161" i="6"/>
  <c r="E160" i="6"/>
  <c r="E159" i="6"/>
  <c r="E158" i="6"/>
  <c r="E157" i="6"/>
  <c r="E156" i="6"/>
  <c r="E155" i="6"/>
  <c r="F155" i="6" s="1"/>
  <c r="G155" i="6" s="1"/>
  <c r="E154" i="6"/>
  <c r="E153" i="6"/>
  <c r="E152" i="6"/>
  <c r="E151" i="6"/>
  <c r="E150" i="6"/>
  <c r="J150" i="6" s="1"/>
  <c r="E149" i="6"/>
  <c r="E148" i="6"/>
  <c r="I148" i="6" s="1"/>
  <c r="E147" i="6"/>
  <c r="E146" i="6"/>
  <c r="E145" i="6"/>
  <c r="E144" i="6"/>
  <c r="I144" i="6" s="1"/>
  <c r="E143" i="6"/>
  <c r="E142" i="6"/>
  <c r="E141" i="6"/>
  <c r="E140" i="6"/>
  <c r="E139" i="6"/>
  <c r="E138" i="6"/>
  <c r="J138" i="6" s="1"/>
  <c r="E137" i="6"/>
  <c r="E136" i="6"/>
  <c r="E135" i="6"/>
  <c r="E134" i="6"/>
  <c r="I134" i="6" s="1"/>
  <c r="E133" i="6"/>
  <c r="E132" i="6"/>
  <c r="E131" i="6"/>
  <c r="E130" i="6"/>
  <c r="E129" i="6"/>
  <c r="E128" i="6"/>
  <c r="E127" i="6"/>
  <c r="E126" i="6"/>
  <c r="I126" i="6" s="1"/>
  <c r="E125" i="6"/>
  <c r="E124" i="6"/>
  <c r="E123" i="6"/>
  <c r="E122" i="6"/>
  <c r="E121" i="6"/>
  <c r="E120" i="6"/>
  <c r="E119" i="6"/>
  <c r="E118" i="6"/>
  <c r="E117" i="6"/>
  <c r="E116" i="6"/>
  <c r="E115" i="6"/>
  <c r="E114" i="6"/>
  <c r="I114" i="6" s="1"/>
  <c r="E113" i="6"/>
  <c r="E112" i="6"/>
  <c r="E111" i="6"/>
  <c r="E110" i="6"/>
  <c r="E109" i="6"/>
  <c r="E108" i="6"/>
  <c r="E107" i="6"/>
  <c r="E106" i="6"/>
  <c r="E105" i="6"/>
  <c r="E104" i="6"/>
  <c r="E103" i="6"/>
  <c r="E102" i="6"/>
  <c r="J102" i="6" s="1"/>
  <c r="E101" i="6"/>
  <c r="E100" i="6"/>
  <c r="E99" i="6"/>
  <c r="E1566" i="6"/>
  <c r="F1566" i="6" s="1"/>
  <c r="E1565" i="6"/>
  <c r="F1565" i="6" s="1"/>
  <c r="E1563" i="6"/>
  <c r="F1563" i="6" s="1"/>
  <c r="E1560" i="6"/>
  <c r="F1560" i="6" s="1"/>
  <c r="E1559" i="6"/>
  <c r="F1559" i="6" s="1"/>
  <c r="E1558" i="6"/>
  <c r="F1558" i="6" s="1"/>
  <c r="E1557" i="6"/>
  <c r="F1557" i="6" s="1"/>
  <c r="E1556" i="6"/>
  <c r="F1556" i="6" s="1"/>
  <c r="E1554" i="6"/>
  <c r="F1554" i="6" s="1"/>
  <c r="F1545" i="6"/>
  <c r="G1545" i="6" s="1"/>
  <c r="F1544" i="6"/>
  <c r="G1544" i="6" s="1"/>
  <c r="F1543" i="6"/>
  <c r="G1543" i="6" s="1"/>
  <c r="F1540" i="6"/>
  <c r="G1540" i="6" s="1"/>
  <c r="F1538" i="6"/>
  <c r="G1538" i="6" s="1"/>
  <c r="IV1474" i="6"/>
  <c r="IV1473" i="6"/>
  <c r="E1473" i="6"/>
  <c r="F1473" i="6" s="1"/>
  <c r="E1471" i="6"/>
  <c r="F1471" i="6" s="1"/>
  <c r="E1470" i="6"/>
  <c r="F1470" i="6" s="1"/>
  <c r="IV1469" i="6"/>
  <c r="E1469" i="6"/>
  <c r="F1469" i="6" s="1"/>
  <c r="E1468" i="6"/>
  <c r="F1468" i="6" s="1"/>
  <c r="E1467" i="6"/>
  <c r="IV1465" i="6"/>
  <c r="E1465" i="6"/>
  <c r="F1465" i="6" s="1"/>
  <c r="IV1464" i="6"/>
  <c r="IV1463" i="6"/>
  <c r="IV1462" i="6"/>
  <c r="E1462" i="6"/>
  <c r="F1462" i="6" s="1"/>
  <c r="IV1460" i="6"/>
  <c r="IV1459" i="6"/>
  <c r="E1458" i="6"/>
  <c r="F1458" i="6" s="1"/>
  <c r="E1456" i="6"/>
  <c r="F1456" i="6" s="1"/>
  <c r="E1454" i="6"/>
  <c r="F1454" i="6" s="1"/>
  <c r="D1453" i="6"/>
  <c r="E1453" i="6" s="1"/>
  <c r="D1452" i="6"/>
  <c r="E1451" i="6"/>
  <c r="F1451" i="6" s="1"/>
  <c r="E1449" i="6"/>
  <c r="F1449" i="6" s="1"/>
  <c r="E1444" i="6"/>
  <c r="F1444" i="6" s="1"/>
  <c r="E1440" i="6"/>
  <c r="F1440" i="6" s="1"/>
  <c r="IV1438" i="6"/>
  <c r="IV1437" i="6"/>
  <c r="IV1436" i="6"/>
  <c r="E1436" i="6"/>
  <c r="F1436" i="6" s="1"/>
  <c r="IV1434" i="6"/>
  <c r="IV1432" i="6"/>
  <c r="E1432" i="6"/>
  <c r="E1430" i="6"/>
  <c r="F1430" i="6" s="1"/>
  <c r="E1428" i="6"/>
  <c r="E1425" i="6"/>
  <c r="F1425" i="6" s="1"/>
  <c r="E1421" i="6"/>
  <c r="F1421" i="6" s="1"/>
  <c r="E1419" i="6"/>
  <c r="F1419" i="6" s="1"/>
  <c r="IV1414" i="6"/>
  <c r="E1413" i="6"/>
  <c r="F1413" i="6" s="1"/>
  <c r="IV1412" i="6"/>
  <c r="E1412" i="6"/>
  <c r="F1412" i="6" s="1"/>
  <c r="IV1410" i="6"/>
  <c r="E1410" i="6"/>
  <c r="F1410" i="6" s="1"/>
  <c r="IV1409" i="6"/>
  <c r="E1409" i="6"/>
  <c r="F1409" i="6" s="1"/>
  <c r="E1408" i="6"/>
  <c r="F1408" i="6" s="1"/>
  <c r="E1406" i="6"/>
  <c r="IV1404" i="6"/>
  <c r="E1404" i="6"/>
  <c r="F1404" i="6" s="1"/>
  <c r="IV1403" i="6"/>
  <c r="IV1402" i="6"/>
  <c r="E1402" i="6"/>
  <c r="IV1401" i="6"/>
  <c r="IV1400" i="6"/>
  <c r="IV1399" i="6"/>
  <c r="E1399" i="6"/>
  <c r="IV1398" i="6"/>
  <c r="IV1396" i="6"/>
  <c r="IV1395" i="6"/>
  <c r="IV1394" i="6"/>
  <c r="IV1393" i="6"/>
  <c r="IV1392" i="6"/>
  <c r="E1392" i="6"/>
  <c r="IV1390" i="6"/>
  <c r="IV1389" i="6"/>
  <c r="IV1388" i="6"/>
  <c r="E1388" i="6"/>
  <c r="IV1387" i="6"/>
  <c r="IV1385" i="6"/>
  <c r="IV1384" i="6"/>
  <c r="IV1383" i="6"/>
  <c r="IV1382" i="6"/>
  <c r="IV1381" i="6"/>
  <c r="IV1380" i="6"/>
  <c r="IV1378" i="6"/>
  <c r="IV1377" i="6"/>
  <c r="IV1376" i="6"/>
  <c r="IV1374" i="6"/>
  <c r="IV1373" i="6"/>
  <c r="E1373" i="6"/>
  <c r="IV1372" i="6"/>
  <c r="IV1371" i="6"/>
  <c r="IV1370" i="6"/>
  <c r="E1370" i="6"/>
  <c r="IV1369" i="6"/>
  <c r="IV1368" i="6"/>
  <c r="IV1367" i="6"/>
  <c r="IV1364" i="6"/>
  <c r="IV1363" i="6"/>
  <c r="IV1362" i="6"/>
  <c r="IV1360" i="6"/>
  <c r="IV1359" i="6"/>
  <c r="IV1358" i="6"/>
  <c r="E1358" i="6"/>
  <c r="IV1357" i="6"/>
  <c r="IV1356" i="6"/>
  <c r="IV1355" i="6"/>
  <c r="E1355" i="6"/>
  <c r="IV1354" i="6"/>
  <c r="IV1353" i="6"/>
  <c r="IV1352" i="6"/>
  <c r="IV1351" i="6"/>
  <c r="IV1350" i="6"/>
  <c r="IV1347" i="6"/>
  <c r="E1347" i="6"/>
  <c r="IV1346" i="6"/>
  <c r="IV1345" i="6"/>
  <c r="IV1344" i="6"/>
  <c r="E1344" i="6"/>
  <c r="IV1343" i="6"/>
  <c r="IV1342" i="6"/>
  <c r="IV1341" i="6"/>
  <c r="IV1340" i="6"/>
  <c r="IV1339" i="6"/>
  <c r="IV1337" i="6"/>
  <c r="IV1336" i="6"/>
  <c r="IV1334" i="6"/>
  <c r="IV1333" i="6"/>
  <c r="IV1332" i="6"/>
  <c r="IV1331" i="6"/>
  <c r="IV1330" i="6"/>
  <c r="D1330" i="6"/>
  <c r="E1330" i="6" s="1"/>
  <c r="IV1329" i="6"/>
  <c r="D1329" i="6"/>
  <c r="IV1328" i="6"/>
  <c r="D1328" i="6"/>
  <c r="IV1327" i="6"/>
  <c r="D1327" i="6"/>
  <c r="E1327" i="6" s="1"/>
  <c r="IV1326" i="6"/>
  <c r="D1326" i="6"/>
  <c r="IV1325" i="6"/>
  <c r="D1325" i="6"/>
  <c r="IV1324" i="6"/>
  <c r="D1324" i="6"/>
  <c r="IV1323" i="6"/>
  <c r="D1323" i="6"/>
  <c r="IV1321" i="6"/>
  <c r="IV1320" i="6"/>
  <c r="IV1319" i="6"/>
  <c r="IV1318" i="6"/>
  <c r="IV1317" i="6"/>
  <c r="E1317" i="6"/>
  <c r="IV1316" i="6"/>
  <c r="IV1315" i="6"/>
  <c r="IV1314" i="6"/>
  <c r="E1314" i="6"/>
  <c r="IV1313" i="6"/>
  <c r="IV1312" i="6"/>
  <c r="IV1311" i="6"/>
  <c r="IV1310" i="6"/>
  <c r="IV1308" i="6"/>
  <c r="IV1307" i="6"/>
  <c r="E1307" i="6"/>
  <c r="IV1305" i="6"/>
  <c r="IV1304" i="6"/>
  <c r="IV1303" i="6"/>
  <c r="E1303" i="6"/>
  <c r="IV1302" i="6"/>
  <c r="IV1301" i="6"/>
  <c r="IV1300" i="6"/>
  <c r="IV1299" i="6"/>
  <c r="IV1298" i="6"/>
  <c r="IV1297" i="6"/>
  <c r="IV1296" i="6"/>
  <c r="IV1295" i="6"/>
  <c r="IV1294" i="6"/>
  <c r="IV1292" i="6"/>
  <c r="IV1291" i="6"/>
  <c r="IV1290" i="6"/>
  <c r="E1290" i="6"/>
  <c r="IV1289" i="6"/>
  <c r="IV1288" i="6"/>
  <c r="IV1287" i="6"/>
  <c r="E1287" i="6"/>
  <c r="IV1286" i="6"/>
  <c r="IV1285" i="6"/>
  <c r="IV1284" i="6"/>
  <c r="IV1283" i="6"/>
  <c r="IV1281" i="6"/>
  <c r="IV1280" i="6"/>
  <c r="IV1278" i="6"/>
  <c r="IV1277" i="6"/>
  <c r="IV1276" i="6"/>
  <c r="E1276" i="6"/>
  <c r="IV1263" i="6"/>
  <c r="IV1262" i="6"/>
  <c r="IV1261" i="6"/>
  <c r="E1261" i="6"/>
  <c r="IV1259" i="6"/>
  <c r="IV1258" i="6"/>
  <c r="IV1257" i="6"/>
  <c r="IV1255" i="6"/>
  <c r="IV1254" i="6"/>
  <c r="IV1252" i="6"/>
  <c r="E1252" i="6"/>
  <c r="IV1251" i="6"/>
  <c r="IV1249" i="6"/>
  <c r="IV1248" i="6"/>
  <c r="E1248" i="6"/>
  <c r="IV1247" i="6"/>
  <c r="IV1246" i="6"/>
  <c r="IV1245" i="6"/>
  <c r="IV1244" i="6"/>
  <c r="IV1243" i="6"/>
  <c r="IV1242" i="6"/>
  <c r="IV1241" i="6"/>
  <c r="IV1239" i="6"/>
  <c r="IV1238" i="6"/>
  <c r="IV1237" i="6"/>
  <c r="IV1235" i="6"/>
  <c r="IV1234" i="6"/>
  <c r="E1234" i="6"/>
  <c r="IV1233" i="6"/>
  <c r="IV1231" i="6"/>
  <c r="IV1230" i="6"/>
  <c r="E1230" i="6"/>
  <c r="IV1229" i="6"/>
  <c r="IV1227" i="6"/>
  <c r="IV1226" i="6"/>
  <c r="IV1225" i="6"/>
  <c r="IV1222" i="6"/>
  <c r="IV1221" i="6"/>
  <c r="IV1220" i="6"/>
  <c r="IV1219" i="6"/>
  <c r="IV1217" i="6"/>
  <c r="E1217" i="6"/>
  <c r="IV1216" i="6"/>
  <c r="IV1215" i="6"/>
  <c r="IV1214" i="6"/>
  <c r="E1214" i="6"/>
  <c r="IV1213" i="6"/>
  <c r="IV1209" i="6"/>
  <c r="IV1208" i="6"/>
  <c r="IV1207" i="6"/>
  <c r="IV1206" i="6"/>
  <c r="IV1204" i="6"/>
  <c r="E1204" i="6"/>
  <c r="IV1203" i="6"/>
  <c r="IV1202" i="6"/>
  <c r="E1189" i="6"/>
  <c r="F1189" i="6" s="1"/>
  <c r="F1188" i="6"/>
  <c r="E1188" i="6"/>
  <c r="E1186" i="6"/>
  <c r="F1186" i="6" s="1"/>
  <c r="E1185" i="6"/>
  <c r="F1185" i="6" s="1"/>
  <c r="E1184" i="6"/>
  <c r="F1184" i="6" s="1"/>
  <c r="E1183" i="6"/>
  <c r="F1183" i="6" s="1"/>
  <c r="E1182" i="6"/>
  <c r="F1182" i="6" s="1"/>
  <c r="E1181" i="6"/>
  <c r="F1181" i="6" s="1"/>
  <c r="E1179" i="6"/>
  <c r="F1179" i="6" s="1"/>
  <c r="E1178" i="6"/>
  <c r="F1178" i="6" s="1"/>
  <c r="E1177" i="6"/>
  <c r="F1177" i="6" s="1"/>
  <c r="D1176" i="6"/>
  <c r="E1176" i="6" s="1"/>
  <c r="F1176" i="6" s="1"/>
  <c r="D1175" i="6"/>
  <c r="D1174" i="6"/>
  <c r="E1174" i="6" s="1"/>
  <c r="D1173" i="6"/>
  <c r="E1173" i="6" s="1"/>
  <c r="F1173" i="6" s="1"/>
  <c r="D1172" i="6"/>
  <c r="E1172" i="6" s="1"/>
  <c r="F1172" i="6" s="1"/>
  <c r="D1171" i="6"/>
  <c r="E1169" i="6"/>
  <c r="F1169" i="6" s="1"/>
  <c r="E1168" i="6"/>
  <c r="F1168" i="6" s="1"/>
  <c r="E1167" i="6"/>
  <c r="F1167" i="6" s="1"/>
  <c r="E1166" i="6"/>
  <c r="F1166" i="6" s="1"/>
  <c r="E1165" i="6"/>
  <c r="F1165" i="6" s="1"/>
  <c r="E1164" i="6"/>
  <c r="F1164" i="6" s="1"/>
  <c r="E1163" i="6"/>
  <c r="F1163" i="6" s="1"/>
  <c r="E1162" i="6"/>
  <c r="F1162" i="6" s="1"/>
  <c r="E1161" i="6"/>
  <c r="F1161" i="6" s="1"/>
  <c r="D1159" i="6"/>
  <c r="E1159" i="6" s="1"/>
  <c r="F1159" i="6" s="1"/>
  <c r="E1158" i="6"/>
  <c r="F1158" i="6" s="1"/>
  <c r="E1157" i="6"/>
  <c r="F1157" i="6" s="1"/>
  <c r="D1156" i="6"/>
  <c r="E1156" i="6" s="1"/>
  <c r="F1156" i="6" s="1"/>
  <c r="E1155" i="6"/>
  <c r="F1155" i="6" s="1"/>
  <c r="E1154" i="6"/>
  <c r="F1154" i="6" s="1"/>
  <c r="E1153" i="6"/>
  <c r="F1153" i="6" s="1"/>
  <c r="E1152" i="6"/>
  <c r="F1152" i="6" s="1"/>
  <c r="E1151" i="6"/>
  <c r="F1151" i="6" s="1"/>
  <c r="E1150" i="6"/>
  <c r="F1150" i="6" s="1"/>
  <c r="E1149" i="6"/>
  <c r="F1149" i="6" s="1"/>
  <c r="E1148" i="6"/>
  <c r="F1148" i="6" s="1"/>
  <c r="E1147" i="6"/>
  <c r="F1147" i="6" s="1"/>
  <c r="E1146" i="6"/>
  <c r="F1146" i="6" s="1"/>
  <c r="E1145" i="6"/>
  <c r="F1145" i="6" s="1"/>
  <c r="E1144" i="6"/>
  <c r="F1144" i="6" s="1"/>
  <c r="E1143" i="6"/>
  <c r="F1143" i="6" s="1"/>
  <c r="E1142" i="6"/>
  <c r="F1142" i="6" s="1"/>
  <c r="F1141" i="6"/>
  <c r="E1141" i="6"/>
  <c r="E1140" i="6"/>
  <c r="F1140" i="6" s="1"/>
  <c r="E1139" i="6"/>
  <c r="F1139" i="6" s="1"/>
  <c r="E1138" i="6"/>
  <c r="F1138" i="6" s="1"/>
  <c r="E1136" i="6"/>
  <c r="F1136" i="6" s="1"/>
  <c r="E1135" i="6"/>
  <c r="F1135" i="6" s="1"/>
  <c r="E1134" i="6"/>
  <c r="F1134" i="6" s="1"/>
  <c r="E1133" i="6"/>
  <c r="F1133" i="6" s="1"/>
  <c r="E1132" i="6"/>
  <c r="F1132" i="6" s="1"/>
  <c r="E1131" i="6"/>
  <c r="F1131" i="6" s="1"/>
  <c r="E1130" i="6"/>
  <c r="F1130" i="6" s="1"/>
  <c r="IV1128" i="6"/>
  <c r="E1128" i="6"/>
  <c r="F1128" i="6" s="1"/>
  <c r="E1127" i="6"/>
  <c r="F1127" i="6" s="1"/>
  <c r="E1126" i="6"/>
  <c r="F1126" i="6" s="1"/>
  <c r="F1125" i="6"/>
  <c r="E1125" i="6"/>
  <c r="E1124" i="6"/>
  <c r="F1124" i="6" s="1"/>
  <c r="E1123" i="6"/>
  <c r="F1123" i="6" s="1"/>
  <c r="E1122" i="6"/>
  <c r="F1122" i="6" s="1"/>
  <c r="E1120" i="6"/>
  <c r="F1120" i="6" s="1"/>
  <c r="E1119" i="6"/>
  <c r="F1119" i="6" s="1"/>
  <c r="D1118" i="6"/>
  <c r="E1118" i="6" s="1"/>
  <c r="F1118" i="6" s="1"/>
  <c r="E1117" i="6"/>
  <c r="F1117" i="6" s="1"/>
  <c r="E1116" i="6"/>
  <c r="F1116" i="6" s="1"/>
  <c r="E1115" i="6"/>
  <c r="F1115" i="6" s="1"/>
  <c r="E1114" i="6"/>
  <c r="F1114" i="6" s="1"/>
  <c r="E1113" i="6"/>
  <c r="F1113" i="6" s="1"/>
  <c r="E1112" i="6"/>
  <c r="F1112" i="6" s="1"/>
  <c r="E1111" i="6"/>
  <c r="F1111" i="6" s="1"/>
  <c r="E1110" i="6"/>
  <c r="F1110" i="6" s="1"/>
  <c r="E1109" i="6"/>
  <c r="F1109" i="6" s="1"/>
  <c r="E1108" i="6"/>
  <c r="F1108" i="6" s="1"/>
  <c r="E1107" i="6"/>
  <c r="F1107" i="6" s="1"/>
  <c r="E1106" i="6"/>
  <c r="F1106" i="6" s="1"/>
  <c r="E1105" i="6"/>
  <c r="F1105" i="6" s="1"/>
  <c r="E1104" i="6"/>
  <c r="F1104" i="6" s="1"/>
  <c r="F1103" i="6"/>
  <c r="E1103" i="6"/>
  <c r="E1102" i="6"/>
  <c r="F1102" i="6" s="1"/>
  <c r="E1101" i="6"/>
  <c r="F1101" i="6" s="1"/>
  <c r="E1100" i="6"/>
  <c r="F1100" i="6" s="1"/>
  <c r="E1098" i="6"/>
  <c r="F1098" i="6" s="1"/>
  <c r="E1097" i="6"/>
  <c r="F1097" i="6" s="1"/>
  <c r="E1096" i="6"/>
  <c r="F1096" i="6" s="1"/>
  <c r="E1095" i="6"/>
  <c r="F1095" i="6" s="1"/>
  <c r="E1094" i="6"/>
  <c r="F1094" i="6" s="1"/>
  <c r="E1093" i="6"/>
  <c r="F1093" i="6" s="1"/>
  <c r="E1092" i="6"/>
  <c r="F1092" i="6" s="1"/>
  <c r="E1091" i="6"/>
  <c r="F1091" i="6" s="1"/>
  <c r="E1090" i="6"/>
  <c r="F1090" i="6" s="1"/>
  <c r="E1089" i="6"/>
  <c r="F1089" i="6" s="1"/>
  <c r="E1088" i="6"/>
  <c r="F1088" i="6" s="1"/>
  <c r="E1087" i="6"/>
  <c r="F1087" i="6" s="1"/>
  <c r="E1086" i="6"/>
  <c r="F1086" i="6" s="1"/>
  <c r="E1085" i="6"/>
  <c r="F1085" i="6" s="1"/>
  <c r="E1084" i="6"/>
  <c r="F1084" i="6" s="1"/>
  <c r="E1083" i="6"/>
  <c r="F1083" i="6" s="1"/>
  <c r="E1082" i="6"/>
  <c r="F1082" i="6" s="1"/>
  <c r="E1081" i="6"/>
  <c r="F1081" i="6" s="1"/>
  <c r="E1080" i="6"/>
  <c r="F1080" i="6" s="1"/>
  <c r="E1079" i="6"/>
  <c r="F1079" i="6" s="1"/>
  <c r="E1078" i="6"/>
  <c r="F1078" i="6" s="1"/>
  <c r="E1077" i="6"/>
  <c r="F1077" i="6" s="1"/>
  <c r="E1076" i="6"/>
  <c r="F1076" i="6" s="1"/>
  <c r="E1075" i="6"/>
  <c r="F1075" i="6" s="1"/>
  <c r="E1074" i="6"/>
  <c r="F1074" i="6" s="1"/>
  <c r="E1073" i="6"/>
  <c r="F1073" i="6" s="1"/>
  <c r="E1072" i="6"/>
  <c r="F1072" i="6" s="1"/>
  <c r="E1071" i="6"/>
  <c r="F1071" i="6" s="1"/>
  <c r="E1070" i="6"/>
  <c r="F1070" i="6" s="1"/>
  <c r="E1069" i="6"/>
  <c r="F1069" i="6" s="1"/>
  <c r="E1068" i="6"/>
  <c r="F1068" i="6" s="1"/>
  <c r="E1067" i="6"/>
  <c r="F1067" i="6" s="1"/>
  <c r="IV1059" i="6"/>
  <c r="E1059" i="6"/>
  <c r="F1059" i="6" s="1"/>
  <c r="IV1058" i="6"/>
  <c r="E1058" i="6"/>
  <c r="F1058" i="6" s="1"/>
  <c r="IV1057" i="6"/>
  <c r="E1057" i="6"/>
  <c r="F1057" i="6" s="1"/>
  <c r="IV1056" i="6"/>
  <c r="E1056" i="6"/>
  <c r="F1056" i="6" s="1"/>
  <c r="IV1055" i="6"/>
  <c r="E1055" i="6"/>
  <c r="F1055" i="6" s="1"/>
  <c r="IV1054" i="6"/>
  <c r="E1054" i="6"/>
  <c r="F1054" i="6" s="1"/>
  <c r="IV1053" i="6"/>
  <c r="F1053" i="6"/>
  <c r="E1053" i="6"/>
  <c r="IV1052" i="6"/>
  <c r="E1052" i="6"/>
  <c r="F1052" i="6" s="1"/>
  <c r="IV1051" i="6"/>
  <c r="D1051" i="6"/>
  <c r="E1051" i="6" s="1"/>
  <c r="IV1050" i="6"/>
  <c r="IT1050" i="6"/>
  <c r="D1050" i="6"/>
  <c r="E1050" i="6" s="1"/>
  <c r="IV1049" i="6"/>
  <c r="D1049" i="6"/>
  <c r="D1048" i="6"/>
  <c r="E1048" i="6" s="1"/>
  <c r="E1047" i="6"/>
  <c r="F1047" i="6" s="1"/>
  <c r="D1046" i="6"/>
  <c r="E1046" i="6" s="1"/>
  <c r="IV1045" i="6"/>
  <c r="IU1045" i="6"/>
  <c r="D1045" i="6"/>
  <c r="E1045" i="6" s="1"/>
  <c r="F1045" i="6" s="1"/>
  <c r="IV1044" i="6"/>
  <c r="IU1044" i="6"/>
  <c r="D1044" i="6"/>
  <c r="IV1043" i="6"/>
  <c r="IU1043" i="6"/>
  <c r="D1043" i="6"/>
  <c r="E1043" i="6" s="1"/>
  <c r="E1042" i="6"/>
  <c r="F1042" i="6" s="1"/>
  <c r="E1041" i="6"/>
  <c r="F1041" i="6" s="1"/>
  <c r="IV1040" i="6"/>
  <c r="IU1040" i="6"/>
  <c r="D1040" i="6"/>
  <c r="E1040" i="6" s="1"/>
  <c r="F1040" i="6" s="1"/>
  <c r="D1039" i="6"/>
  <c r="D1038" i="6"/>
  <c r="D1037" i="6"/>
  <c r="E1037" i="6" s="1"/>
  <c r="F1037" i="6" s="1"/>
  <c r="IV1036" i="6"/>
  <c r="IU1036" i="6"/>
  <c r="IT1036" i="6"/>
  <c r="D1036" i="6"/>
  <c r="IV1035" i="6"/>
  <c r="IU1035" i="6"/>
  <c r="D1035" i="6"/>
  <c r="IV1034" i="6"/>
  <c r="IU1034" i="6"/>
  <c r="IT1034" i="6"/>
  <c r="D1034" i="6"/>
  <c r="E1034" i="6" s="1"/>
  <c r="IV1033" i="6"/>
  <c r="IU1033" i="6"/>
  <c r="D1033" i="6"/>
  <c r="E1033" i="6" s="1"/>
  <c r="IV1032" i="6"/>
  <c r="IU1032" i="6"/>
  <c r="D1032" i="6"/>
  <c r="E1032" i="6" s="1"/>
  <c r="F1032" i="6" s="1"/>
  <c r="IV1031" i="6"/>
  <c r="IU1031" i="6"/>
  <c r="D1031" i="6"/>
  <c r="E1031" i="6" s="1"/>
  <c r="F1031" i="6" s="1"/>
  <c r="IV1030" i="6"/>
  <c r="D1030" i="6"/>
  <c r="E1030" i="6" s="1"/>
  <c r="IV1029" i="6"/>
  <c r="D1029" i="6"/>
  <c r="IV1028" i="6"/>
  <c r="IU1028" i="6"/>
  <c r="D1028" i="6"/>
  <c r="IV1027" i="6"/>
  <c r="IU1027" i="6"/>
  <c r="D1027" i="6"/>
  <c r="E1027" i="6" s="1"/>
  <c r="F1027" i="6" s="1"/>
  <c r="IV1026" i="6"/>
  <c r="IU1026" i="6"/>
  <c r="IT1026" i="6"/>
  <c r="D1026" i="6"/>
  <c r="E1026" i="6" s="1"/>
  <c r="IV1025" i="6"/>
  <c r="IU1025" i="6"/>
  <c r="IT1025" i="6"/>
  <c r="D1025" i="6"/>
  <c r="E1025" i="6" s="1"/>
  <c r="F1025" i="6" s="1"/>
  <c r="IV1024" i="6"/>
  <c r="IU1024" i="6"/>
  <c r="IT1024" i="6"/>
  <c r="D1024" i="6"/>
  <c r="IV1023" i="6"/>
  <c r="IU1023" i="6"/>
  <c r="D1023" i="6"/>
  <c r="E1023" i="6" s="1"/>
  <c r="F1023" i="6" s="1"/>
  <c r="D1022" i="6"/>
  <c r="D1021" i="6"/>
  <c r="IV1020" i="6"/>
  <c r="IU1020" i="6"/>
  <c r="D1020" i="6"/>
  <c r="IV1019" i="6"/>
  <c r="IU1019" i="6"/>
  <c r="IT1019" i="6"/>
  <c r="D1019" i="6"/>
  <c r="IV1018" i="6"/>
  <c r="IU1018" i="6"/>
  <c r="D1018" i="6"/>
  <c r="IV1016" i="6"/>
  <c r="IU1016" i="6"/>
  <c r="D1016" i="6"/>
  <c r="IV1015" i="6"/>
  <c r="IU1015" i="6"/>
  <c r="D1015" i="6"/>
  <c r="E1015" i="6" s="1"/>
  <c r="F1015" i="6" s="1"/>
  <c r="IV1014" i="6"/>
  <c r="IU1014" i="6"/>
  <c r="IT1014" i="6"/>
  <c r="D1014" i="6"/>
  <c r="IV1013" i="6"/>
  <c r="IU1013" i="6"/>
  <c r="IT1013" i="6"/>
  <c r="D1013" i="6"/>
  <c r="E1013" i="6" s="1"/>
  <c r="F1013" i="6" s="1"/>
  <c r="D1012" i="6"/>
  <c r="IV1010" i="6"/>
  <c r="IU1010" i="6"/>
  <c r="IT1010" i="6"/>
  <c r="D1010" i="6"/>
  <c r="D1009" i="6"/>
  <c r="E1009" i="6" s="1"/>
  <c r="F1009" i="6" s="1"/>
  <c r="IV1008" i="6"/>
  <c r="IU1008" i="6"/>
  <c r="D1008" i="6"/>
  <c r="E1008" i="6" s="1"/>
  <c r="F1008" i="6" s="1"/>
  <c r="IV1007" i="6"/>
  <c r="IU1007" i="6"/>
  <c r="IT1007" i="6"/>
  <c r="D1007" i="6"/>
  <c r="E1007" i="6" s="1"/>
  <c r="F1007" i="6" s="1"/>
  <c r="D1006" i="6"/>
  <c r="D1004" i="6"/>
  <c r="E1004" i="6" s="1"/>
  <c r="F1004" i="6" s="1"/>
  <c r="IV1003" i="6"/>
  <c r="IU1003" i="6"/>
  <c r="IT1003" i="6"/>
  <c r="D1003" i="6"/>
  <c r="E1003" i="6" s="1"/>
  <c r="F1003" i="6" s="1"/>
  <c r="D1002" i="6"/>
  <c r="E1000" i="6"/>
  <c r="F1000" i="6" s="1"/>
  <c r="IV999" i="6"/>
  <c r="IU999" i="6"/>
  <c r="IT999" i="6"/>
  <c r="D999" i="6"/>
  <c r="E999" i="6" s="1"/>
  <c r="F999" i="6" s="1"/>
  <c r="IV998" i="6"/>
  <c r="IU998" i="6"/>
  <c r="IT998" i="6"/>
  <c r="D998" i="6"/>
  <c r="E998" i="6" s="1"/>
  <c r="F998" i="6" s="1"/>
  <c r="IV997" i="6"/>
  <c r="IU997" i="6"/>
  <c r="IT997" i="6"/>
  <c r="D997" i="6"/>
  <c r="E997" i="6" s="1"/>
  <c r="D996" i="6"/>
  <c r="IV994" i="6"/>
  <c r="IU994" i="6"/>
  <c r="IT994" i="6"/>
  <c r="D994" i="6"/>
  <c r="D993" i="6"/>
  <c r="IV992" i="6"/>
  <c r="IU992" i="6"/>
  <c r="IT992" i="6"/>
  <c r="E992" i="6"/>
  <c r="F992" i="6" s="1"/>
  <c r="D992" i="6"/>
  <c r="D990" i="6"/>
  <c r="D989" i="6"/>
  <c r="E989" i="6" s="1"/>
  <c r="F989" i="6" s="1"/>
  <c r="D988" i="6"/>
  <c r="D987" i="6"/>
  <c r="E987" i="6" s="1"/>
  <c r="F987" i="6" s="1"/>
  <c r="IV986" i="6"/>
  <c r="IU986" i="6"/>
  <c r="D986" i="6"/>
  <c r="IV985" i="6"/>
  <c r="IU985" i="6"/>
  <c r="D985" i="6"/>
  <c r="E985" i="6" s="1"/>
  <c r="IV984" i="6"/>
  <c r="IU984" i="6"/>
  <c r="D984" i="6"/>
  <c r="IV983" i="6"/>
  <c r="IU983" i="6"/>
  <c r="D983" i="6"/>
  <c r="E983" i="6" s="1"/>
  <c r="F983" i="6" s="1"/>
  <c r="IV982" i="6"/>
  <c r="IU982" i="6"/>
  <c r="D982" i="6"/>
  <c r="IV981" i="6"/>
  <c r="IU981" i="6"/>
  <c r="IT981" i="6"/>
  <c r="D981" i="6"/>
  <c r="E981" i="6" s="1"/>
  <c r="F981" i="6" s="1"/>
  <c r="D980" i="6"/>
  <c r="IV979" i="6"/>
  <c r="IU979" i="6"/>
  <c r="D979" i="6"/>
  <c r="D978" i="6"/>
  <c r="IV977" i="6"/>
  <c r="IU977" i="6"/>
  <c r="D977" i="6"/>
  <c r="E977" i="6" s="1"/>
  <c r="F977" i="6" s="1"/>
  <c r="D976" i="6"/>
  <c r="D975" i="6"/>
  <c r="E975" i="6" s="1"/>
  <c r="IV974" i="6"/>
  <c r="IU974" i="6"/>
  <c r="IT974" i="6"/>
  <c r="D974" i="6"/>
  <c r="IV973" i="6"/>
  <c r="IU973" i="6"/>
  <c r="D973" i="6"/>
  <c r="IV971" i="6"/>
  <c r="IU971" i="6"/>
  <c r="IT971" i="6"/>
  <c r="D971" i="6"/>
  <c r="E971" i="6" s="1"/>
  <c r="F971" i="6" s="1"/>
  <c r="IV970" i="6"/>
  <c r="IU970" i="6"/>
  <c r="IT970" i="6"/>
  <c r="D970" i="6"/>
  <c r="D969" i="6"/>
  <c r="E968" i="6"/>
  <c r="F968" i="6" s="1"/>
  <c r="D968" i="6"/>
  <c r="IV967" i="6"/>
  <c r="IU967" i="6"/>
  <c r="IT967" i="6"/>
  <c r="D967" i="6"/>
  <c r="D966" i="6"/>
  <c r="IV965" i="6"/>
  <c r="IU965" i="6"/>
  <c r="IT965" i="6"/>
  <c r="D965" i="6"/>
  <c r="IV964" i="6"/>
  <c r="IU964" i="6"/>
  <c r="IT964" i="6"/>
  <c r="D964" i="6"/>
  <c r="IV963" i="6"/>
  <c r="IU963" i="6"/>
  <c r="IT963" i="6"/>
  <c r="D963" i="6"/>
  <c r="IV962" i="6"/>
  <c r="IU962" i="6"/>
  <c r="IT962" i="6"/>
  <c r="D962" i="6"/>
  <c r="IV960" i="6"/>
  <c r="IU960" i="6"/>
  <c r="D960" i="6"/>
  <c r="E960" i="6" s="1"/>
  <c r="F960" i="6" s="1"/>
  <c r="D959" i="6"/>
  <c r="E959" i="6" s="1"/>
  <c r="IV958" i="6"/>
  <c r="IT958" i="6"/>
  <c r="D958" i="6"/>
  <c r="IV956" i="6"/>
  <c r="IU956" i="6"/>
  <c r="D956" i="6"/>
  <c r="E956" i="6" s="1"/>
  <c r="F956" i="6" s="1"/>
  <c r="IV955" i="6"/>
  <c r="IU955" i="6"/>
  <c r="D955" i="6"/>
  <c r="IV954" i="6"/>
  <c r="IU954" i="6"/>
  <c r="D954" i="6"/>
  <c r="D952" i="6"/>
  <c r="D951" i="6"/>
  <c r="IV950" i="6"/>
  <c r="IU950" i="6"/>
  <c r="D950" i="6"/>
  <c r="E950" i="6" s="1"/>
  <c r="F950" i="6" s="1"/>
  <c r="IV949" i="6"/>
  <c r="IU949" i="6"/>
  <c r="D949" i="6"/>
  <c r="E949" i="6" s="1"/>
  <c r="IV948" i="6"/>
  <c r="IU948" i="6"/>
  <c r="D948" i="6"/>
  <c r="E948" i="6" s="1"/>
  <c r="F948" i="6" s="1"/>
  <c r="D946" i="6"/>
  <c r="IV945" i="6"/>
  <c r="IU945" i="6"/>
  <c r="D945" i="6"/>
  <c r="IV944" i="6"/>
  <c r="IU944" i="6"/>
  <c r="IT944" i="6"/>
  <c r="D944" i="6"/>
  <c r="E944" i="6" s="1"/>
  <c r="F944" i="6" s="1"/>
  <c r="D943" i="6"/>
  <c r="E943" i="6" s="1"/>
  <c r="F943" i="6" s="1"/>
  <c r="IV942" i="6"/>
  <c r="IU942" i="6"/>
  <c r="D942" i="6"/>
  <c r="IV941" i="6"/>
  <c r="IU941" i="6"/>
  <c r="IT941" i="6"/>
  <c r="E941" i="6"/>
  <c r="F941" i="6" s="1"/>
  <c r="D941" i="6"/>
  <c r="E940" i="6"/>
  <c r="D940" i="6"/>
  <c r="IV938" i="6"/>
  <c r="IU938" i="6"/>
  <c r="E938" i="6"/>
  <c r="F938" i="6" s="1"/>
  <c r="D938" i="6"/>
  <c r="IV937" i="6"/>
  <c r="IU937" i="6"/>
  <c r="D937" i="6"/>
  <c r="IV935" i="6"/>
  <c r="IU935" i="6"/>
  <c r="D935" i="6"/>
  <c r="IV934" i="6"/>
  <c r="IU934" i="6"/>
  <c r="D934" i="6"/>
  <c r="IV933" i="6"/>
  <c r="IU933" i="6"/>
  <c r="D933" i="6"/>
  <c r="IV931" i="6"/>
  <c r="IU931" i="6"/>
  <c r="D931" i="6"/>
  <c r="E931" i="6" s="1"/>
  <c r="IV930" i="6"/>
  <c r="IU930" i="6"/>
  <c r="D930" i="6"/>
  <c r="IV929" i="6"/>
  <c r="IU929" i="6"/>
  <c r="D929" i="6"/>
  <c r="IV928" i="6"/>
  <c r="IU928" i="6"/>
  <c r="D928" i="6"/>
  <c r="E928" i="6" s="1"/>
  <c r="F928" i="6" s="1"/>
  <c r="IV926" i="6"/>
  <c r="IU926" i="6"/>
  <c r="D926" i="6"/>
  <c r="E906" i="6"/>
  <c r="F906" i="6" s="1"/>
  <c r="E905" i="6"/>
  <c r="D904" i="6"/>
  <c r="D902" i="6"/>
  <c r="E902" i="6" s="1"/>
  <c r="D901" i="6"/>
  <c r="E901" i="6" s="1"/>
  <c r="F901" i="6" s="1"/>
  <c r="D900" i="6"/>
  <c r="E900" i="6" s="1"/>
  <c r="D898" i="6"/>
  <c r="D897" i="6"/>
  <c r="E897" i="6" s="1"/>
  <c r="D896" i="6"/>
  <c r="E896" i="6" s="1"/>
  <c r="F896" i="6" s="1"/>
  <c r="D894" i="6"/>
  <c r="E894" i="6" s="1"/>
  <c r="D893" i="6"/>
  <c r="D892" i="6"/>
  <c r="D891" i="6"/>
  <c r="D890" i="6"/>
  <c r="E890" i="6" s="1"/>
  <c r="D889" i="6"/>
  <c r="D888" i="6"/>
  <c r="E888" i="6" s="1"/>
  <c r="D887" i="6"/>
  <c r="E887" i="6" s="1"/>
  <c r="F887" i="6" s="1"/>
  <c r="D886" i="6"/>
  <c r="E886" i="6" s="1"/>
  <c r="D884" i="6"/>
  <c r="D883" i="6"/>
  <c r="E883" i="6" s="1"/>
  <c r="D882" i="6"/>
  <c r="E882" i="6" s="1"/>
  <c r="F882" i="6" s="1"/>
  <c r="D881" i="6"/>
  <c r="E881" i="6" s="1"/>
  <c r="D880" i="6"/>
  <c r="D879" i="6"/>
  <c r="D878" i="6"/>
  <c r="E878" i="6" s="1"/>
  <c r="F878" i="6" s="1"/>
  <c r="D877" i="6"/>
  <c r="E877" i="6" s="1"/>
  <c r="D876" i="6"/>
  <c r="E875" i="6"/>
  <c r="D875" i="6"/>
  <c r="D874" i="6"/>
  <c r="E874" i="6" s="1"/>
  <c r="F874" i="6" s="1"/>
  <c r="D873" i="6"/>
  <c r="E873" i="6" s="1"/>
  <c r="D871" i="6"/>
  <c r="D870" i="6"/>
  <c r="E870" i="6" s="1"/>
  <c r="D869" i="6"/>
  <c r="E869" i="6" s="1"/>
  <c r="D868" i="6"/>
  <c r="E868" i="6" s="1"/>
  <c r="D867" i="6"/>
  <c r="D866" i="6"/>
  <c r="D865" i="6"/>
  <c r="D864" i="6"/>
  <c r="E864" i="6" s="1"/>
  <c r="D863" i="6"/>
  <c r="D862" i="6"/>
  <c r="E862" i="6" s="1"/>
  <c r="E861" i="6"/>
  <c r="F861" i="6" s="1"/>
  <c r="D861" i="6"/>
  <c r="D860" i="6"/>
  <c r="E860" i="6" s="1"/>
  <c r="D859" i="6"/>
  <c r="D858" i="6"/>
  <c r="E858" i="6" s="1"/>
  <c r="D857" i="6"/>
  <c r="E857" i="6" s="1"/>
  <c r="D856" i="6"/>
  <c r="E856" i="6" s="1"/>
  <c r="D855" i="6"/>
  <c r="D854" i="6"/>
  <c r="D853" i="6"/>
  <c r="D852" i="6"/>
  <c r="E852" i="6" s="1"/>
  <c r="D851" i="6"/>
  <c r="D850" i="6"/>
  <c r="E850" i="6" s="1"/>
  <c r="D849" i="6"/>
  <c r="E849" i="6" s="1"/>
  <c r="F849" i="6" s="1"/>
  <c r="D848" i="6"/>
  <c r="E848" i="6" s="1"/>
  <c r="D847" i="6"/>
  <c r="D846" i="6"/>
  <c r="E846" i="6" s="1"/>
  <c r="D845" i="6"/>
  <c r="E845" i="6" s="1"/>
  <c r="D844" i="6"/>
  <c r="E844" i="6" s="1"/>
  <c r="D843" i="6"/>
  <c r="D842" i="6"/>
  <c r="D841" i="6"/>
  <c r="D840" i="6"/>
  <c r="D838" i="6"/>
  <c r="D837" i="6"/>
  <c r="D836" i="6"/>
  <c r="D835" i="6"/>
  <c r="D833" i="6"/>
  <c r="D832" i="6"/>
  <c r="D831" i="6"/>
  <c r="E831" i="6" s="1"/>
  <c r="F831" i="6" s="1"/>
  <c r="D830" i="6"/>
  <c r="D829" i="6"/>
  <c r="D827" i="6"/>
  <c r="D826" i="6"/>
  <c r="D825" i="6"/>
  <c r="E825" i="6" s="1"/>
  <c r="D824" i="6"/>
  <c r="D823" i="6"/>
  <c r="D822" i="6"/>
  <c r="D821" i="6"/>
  <c r="D820" i="6"/>
  <c r="D819" i="6"/>
  <c r="D818" i="6"/>
  <c r="D817" i="6"/>
  <c r="D816" i="6"/>
  <c r="D815" i="6"/>
  <c r="D814" i="6"/>
  <c r="E814" i="6" s="1"/>
  <c r="D813" i="6"/>
  <c r="D812" i="6"/>
  <c r="D811" i="6"/>
  <c r="D810" i="6"/>
  <c r="D809" i="6"/>
  <c r="E809" i="6" s="1"/>
  <c r="F809" i="6" s="1"/>
  <c r="D808" i="6"/>
  <c r="D807" i="6"/>
  <c r="D806" i="6"/>
  <c r="D805" i="6"/>
  <c r="D804" i="6"/>
  <c r="D803" i="6"/>
  <c r="D802" i="6"/>
  <c r="D801" i="6"/>
  <c r="D800" i="6"/>
  <c r="D798" i="6"/>
  <c r="D797" i="6"/>
  <c r="E797" i="6" s="1"/>
  <c r="F797" i="6" s="1"/>
  <c r="D796" i="6"/>
  <c r="D795" i="6"/>
  <c r="D794" i="6"/>
  <c r="D793" i="6"/>
  <c r="D792" i="6"/>
  <c r="E792" i="6" s="1"/>
  <c r="D791" i="6"/>
  <c r="D790" i="6"/>
  <c r="D789" i="6"/>
  <c r="D788" i="6"/>
  <c r="D787" i="6"/>
  <c r="D786" i="6"/>
  <c r="D784" i="6"/>
  <c r="D783" i="6"/>
  <c r="D782" i="6"/>
  <c r="D781" i="6"/>
  <c r="D780" i="6"/>
  <c r="E780" i="6" s="1"/>
  <c r="D779" i="6"/>
  <c r="D778" i="6"/>
  <c r="D777" i="6"/>
  <c r="D776" i="6"/>
  <c r="D775" i="6"/>
  <c r="E775" i="6" s="1"/>
  <c r="F775" i="6" s="1"/>
  <c r="D774" i="6"/>
  <c r="D773" i="6"/>
  <c r="D772" i="6"/>
  <c r="D771" i="6"/>
  <c r="D769" i="6"/>
  <c r="D768" i="6"/>
  <c r="D767" i="6"/>
  <c r="D766" i="6"/>
  <c r="D765" i="6"/>
  <c r="D764" i="6"/>
  <c r="D763" i="6"/>
  <c r="E763" i="6" s="1"/>
  <c r="F763" i="6" s="1"/>
  <c r="D762" i="6"/>
  <c r="D761" i="6"/>
  <c r="E759" i="6"/>
  <c r="F759" i="6" s="1"/>
  <c r="E757" i="6"/>
  <c r="F757" i="6" s="1"/>
  <c r="D756" i="6"/>
  <c r="E756" i="6" s="1"/>
  <c r="D755" i="6"/>
  <c r="E755" i="6" s="1"/>
  <c r="F755" i="6" s="1"/>
  <c r="D754" i="6"/>
  <c r="E754" i="6" s="1"/>
  <c r="D753" i="6"/>
  <c r="D752" i="6"/>
  <c r="D751" i="6"/>
  <c r="E751" i="6" s="1"/>
  <c r="F751" i="6" s="1"/>
  <c r="D750" i="6"/>
  <c r="E750" i="6" s="1"/>
  <c r="D749" i="6"/>
  <c r="D748" i="6"/>
  <c r="D747" i="6"/>
  <c r="E747" i="6" s="1"/>
  <c r="F747" i="6" s="1"/>
  <c r="D746" i="6"/>
  <c r="E746" i="6" s="1"/>
  <c r="D745" i="6"/>
  <c r="E745" i="6" s="1"/>
  <c r="F745" i="6" s="1"/>
  <c r="E744" i="6"/>
  <c r="D744" i="6"/>
  <c r="D743" i="6"/>
  <c r="D742" i="6"/>
  <c r="E742" i="6" s="1"/>
  <c r="D740" i="6"/>
  <c r="D738" i="6"/>
  <c r="D737" i="6"/>
  <c r="E737" i="6" s="1"/>
  <c r="F737" i="6" s="1"/>
  <c r="D736" i="6"/>
  <c r="E736" i="6" s="1"/>
  <c r="D735" i="6"/>
  <c r="D734" i="6"/>
  <c r="E734" i="6" s="1"/>
  <c r="D733" i="6"/>
  <c r="D731" i="6"/>
  <c r="E731" i="6" s="1"/>
  <c r="D729" i="6"/>
  <c r="E729" i="6" s="1"/>
  <c r="D728" i="6"/>
  <c r="E728" i="6" s="1"/>
  <c r="F728" i="6" s="1"/>
  <c r="D727" i="6"/>
  <c r="E727" i="6" s="1"/>
  <c r="F727" i="6" s="1"/>
  <c r="E726" i="6"/>
  <c r="D726" i="6"/>
  <c r="D723" i="6"/>
  <c r="E723" i="6" s="1"/>
  <c r="D722" i="6"/>
  <c r="D721" i="6"/>
  <c r="E721" i="6" s="1"/>
  <c r="D720" i="6"/>
  <c r="E720" i="6" s="1"/>
  <c r="D719" i="6"/>
  <c r="D718" i="6"/>
  <c r="D717" i="6"/>
  <c r="E717" i="6" s="1"/>
  <c r="F717" i="6" s="1"/>
  <c r="D716" i="6"/>
  <c r="E716" i="6" s="1"/>
  <c r="D715" i="6"/>
  <c r="E715" i="6" s="1"/>
  <c r="E714" i="6"/>
  <c r="D714" i="6"/>
  <c r="D713" i="6"/>
  <c r="E713" i="6" s="1"/>
  <c r="F713" i="6" s="1"/>
  <c r="D712" i="6"/>
  <c r="D711" i="6"/>
  <c r="E711" i="6" s="1"/>
  <c r="D710" i="6"/>
  <c r="E710" i="6" s="1"/>
  <c r="D709" i="6"/>
  <c r="D708" i="6"/>
  <c r="E708" i="6" s="1"/>
  <c r="D707" i="6"/>
  <c r="D706" i="6"/>
  <c r="E706" i="6" s="1"/>
  <c r="F706" i="6" s="1"/>
  <c r="D705" i="6"/>
  <c r="E705" i="6" s="1"/>
  <c r="D704" i="6"/>
  <c r="E704" i="6" s="1"/>
  <c r="D703" i="6"/>
  <c r="D700" i="6"/>
  <c r="D699" i="6"/>
  <c r="E699" i="6" s="1"/>
  <c r="D698" i="6"/>
  <c r="D697" i="6"/>
  <c r="D696" i="6"/>
  <c r="E696" i="6" s="1"/>
  <c r="D693" i="6"/>
  <c r="E693" i="6" s="1"/>
  <c r="D692" i="6"/>
  <c r="E692" i="6" s="1"/>
  <c r="D691" i="6"/>
  <c r="E691" i="6" s="1"/>
  <c r="F691" i="6" s="1"/>
  <c r="D690" i="6"/>
  <c r="D689" i="6"/>
  <c r="E689" i="6" s="1"/>
  <c r="F689" i="6" s="1"/>
  <c r="D688" i="6"/>
  <c r="E688" i="6" s="1"/>
  <c r="E687" i="6"/>
  <c r="F687" i="6" s="1"/>
  <c r="D687" i="6"/>
  <c r="E686" i="6"/>
  <c r="D686" i="6"/>
  <c r="D685" i="6"/>
  <c r="D684" i="6"/>
  <c r="E684" i="6" s="1"/>
  <c r="D683" i="6"/>
  <c r="D682" i="6"/>
  <c r="D681" i="6"/>
  <c r="E681" i="6" s="1"/>
  <c r="D680" i="6"/>
  <c r="E680" i="6" s="1"/>
  <c r="D679" i="6"/>
  <c r="D678" i="6"/>
  <c r="D675" i="6"/>
  <c r="E675" i="6" s="1"/>
  <c r="D672" i="6"/>
  <c r="E672" i="6" s="1"/>
  <c r="D671" i="6"/>
  <c r="D670" i="6"/>
  <c r="D669" i="6"/>
  <c r="E669" i="6" s="1"/>
  <c r="E668" i="6"/>
  <c r="D667" i="6"/>
  <c r="D666" i="6"/>
  <c r="E665" i="6"/>
  <c r="D665" i="6"/>
  <c r="D664" i="6"/>
  <c r="E664" i="6" s="1"/>
  <c r="D663" i="6"/>
  <c r="E663" i="6" s="1"/>
  <c r="D662" i="6"/>
  <c r="D661" i="6"/>
  <c r="E661" i="6" s="1"/>
  <c r="D660" i="6"/>
  <c r="E660" i="6" s="1"/>
  <c r="F659" i="6"/>
  <c r="D659" i="6"/>
  <c r="E659" i="6" s="1"/>
  <c r="D658" i="6"/>
  <c r="D657" i="6"/>
  <c r="E657" i="6" s="1"/>
  <c r="D656" i="6"/>
  <c r="E656" i="6" s="1"/>
  <c r="D655" i="6"/>
  <c r="E655" i="6" s="1"/>
  <c r="D654" i="6"/>
  <c r="D653" i="6"/>
  <c r="F652" i="6"/>
  <c r="D652" i="6"/>
  <c r="E652" i="6" s="1"/>
  <c r="D651" i="6"/>
  <c r="E651" i="6" s="1"/>
  <c r="D650" i="6"/>
  <c r="D649" i="6"/>
  <c r="E649" i="6" s="1"/>
  <c r="D648" i="6"/>
  <c r="E648" i="6" s="1"/>
  <c r="D647" i="6"/>
  <c r="E647" i="6" s="1"/>
  <c r="D646" i="6"/>
  <c r="D645" i="6"/>
  <c r="E645" i="6" s="1"/>
  <c r="D644" i="6"/>
  <c r="E644" i="6" s="1"/>
  <c r="D643" i="6"/>
  <c r="E643" i="6" s="1"/>
  <c r="D642" i="6"/>
  <c r="D641" i="6"/>
  <c r="E641" i="6" s="1"/>
  <c r="D640" i="6"/>
  <c r="E640" i="6" s="1"/>
  <c r="D638" i="6"/>
  <c r="E638" i="6" s="1"/>
  <c r="D637" i="6"/>
  <c r="D636" i="6"/>
  <c r="D635" i="6"/>
  <c r="E635" i="6" s="1"/>
  <c r="D634" i="6"/>
  <c r="E634" i="6" s="1"/>
  <c r="D633" i="6"/>
  <c r="D632" i="6"/>
  <c r="E632" i="6" s="1"/>
  <c r="D631" i="6"/>
  <c r="E631" i="6" s="1"/>
  <c r="D630" i="6"/>
  <c r="E630" i="6" s="1"/>
  <c r="F630" i="6" s="1"/>
  <c r="D629" i="6"/>
  <c r="D628" i="6"/>
  <c r="D627" i="6"/>
  <c r="E627" i="6" s="1"/>
  <c r="D626" i="6"/>
  <c r="E626" i="6" s="1"/>
  <c r="D625" i="6"/>
  <c r="D624" i="6"/>
  <c r="D623" i="6"/>
  <c r="D622" i="6"/>
  <c r="E622" i="6" s="1"/>
  <c r="D621" i="6"/>
  <c r="D620" i="6"/>
  <c r="E620" i="6" s="1"/>
  <c r="D619" i="6"/>
  <c r="D618" i="6"/>
  <c r="E618" i="6" s="1"/>
  <c r="D617" i="6"/>
  <c r="D616" i="6"/>
  <c r="E616" i="6" s="1"/>
  <c r="D615" i="6"/>
  <c r="D614" i="6"/>
  <c r="E614" i="6" s="1"/>
  <c r="D613" i="6"/>
  <c r="D611" i="6"/>
  <c r="D610" i="6"/>
  <c r="D609" i="6"/>
  <c r="E609" i="6" s="1"/>
  <c r="D608" i="6"/>
  <c r="D607" i="6"/>
  <c r="E607" i="6" s="1"/>
  <c r="E595" i="6"/>
  <c r="F595" i="6" s="1"/>
  <c r="E594" i="6"/>
  <c r="F594" i="6" s="1"/>
  <c r="E593" i="6"/>
  <c r="F593" i="6" s="1"/>
  <c r="F592" i="6"/>
  <c r="E592" i="6"/>
  <c r="F591" i="6"/>
  <c r="E591" i="6"/>
  <c r="E590" i="6"/>
  <c r="F590" i="6" s="1"/>
  <c r="E589" i="6"/>
  <c r="F589" i="6" s="1"/>
  <c r="E588" i="6"/>
  <c r="F588" i="6" s="1"/>
  <c r="E587" i="6"/>
  <c r="F587" i="6" s="1"/>
  <c r="F586" i="6"/>
  <c r="E586" i="6"/>
  <c r="D585" i="6"/>
  <c r="E585" i="6" s="1"/>
  <c r="D584" i="6"/>
  <c r="D583" i="6"/>
  <c r="D582" i="6"/>
  <c r="D581" i="6"/>
  <c r="E581" i="6" s="1"/>
  <c r="D580" i="6"/>
  <c r="E580" i="6" s="1"/>
  <c r="E579" i="6"/>
  <c r="D579" i="6"/>
  <c r="D578" i="6"/>
  <c r="D577" i="6"/>
  <c r="E577" i="6" s="1"/>
  <c r="D576" i="6"/>
  <c r="D575" i="6"/>
  <c r="E575" i="6" s="1"/>
  <c r="F575" i="6" s="1"/>
  <c r="D574" i="6"/>
  <c r="E574" i="6" s="1"/>
  <c r="F574" i="6" s="1"/>
  <c r="D573" i="6"/>
  <c r="E573" i="6" s="1"/>
  <c r="D572" i="6"/>
  <c r="D571" i="6"/>
  <c r="E571" i="6" s="1"/>
  <c r="D570" i="6"/>
  <c r="D569" i="6"/>
  <c r="E569" i="6" s="1"/>
  <c r="D568" i="6"/>
  <c r="D567" i="6"/>
  <c r="D565" i="6"/>
  <c r="D564" i="6"/>
  <c r="E564" i="6" s="1"/>
  <c r="D563" i="6"/>
  <c r="D562" i="6"/>
  <c r="D561" i="6"/>
  <c r="E561" i="6" s="1"/>
  <c r="D560" i="6"/>
  <c r="E560" i="6" s="1"/>
  <c r="D559" i="6"/>
  <c r="E559" i="6" s="1"/>
  <c r="F559" i="6" s="1"/>
  <c r="D558" i="6"/>
  <c r="E558" i="6" s="1"/>
  <c r="E557" i="6"/>
  <c r="D557" i="6"/>
  <c r="F557" i="6" s="1"/>
  <c r="D556" i="6"/>
  <c r="E556" i="6" s="1"/>
  <c r="D555" i="6"/>
  <c r="D554" i="6"/>
  <c r="D553" i="6"/>
  <c r="E553" i="6" s="1"/>
  <c r="F553" i="6" s="1"/>
  <c r="D552" i="6"/>
  <c r="E552" i="6" s="1"/>
  <c r="D551" i="6"/>
  <c r="D549" i="6"/>
  <c r="D548" i="6"/>
  <c r="E548" i="6" s="1"/>
  <c r="F548" i="6" s="1"/>
  <c r="D547" i="6"/>
  <c r="E547" i="6" s="1"/>
  <c r="D546" i="6"/>
  <c r="D544" i="6"/>
  <c r="E544" i="6" s="1"/>
  <c r="F544" i="6" s="1"/>
  <c r="D543" i="6"/>
  <c r="F542" i="6"/>
  <c r="D542" i="6"/>
  <c r="E542" i="6" s="1"/>
  <c r="D541" i="6"/>
  <c r="D540" i="6"/>
  <c r="D539" i="6"/>
  <c r="E539" i="6" s="1"/>
  <c r="F539" i="6" s="1"/>
  <c r="D538" i="6"/>
  <c r="E538" i="6" s="1"/>
  <c r="D537" i="6"/>
  <c r="E537" i="6" s="1"/>
  <c r="F537" i="6" s="1"/>
  <c r="D536" i="6"/>
  <c r="E536" i="6" s="1"/>
  <c r="F536" i="6" s="1"/>
  <c r="D535" i="6"/>
  <c r="E535" i="6" s="1"/>
  <c r="F535" i="6" s="1"/>
  <c r="D534" i="6"/>
  <c r="E534" i="6" s="1"/>
  <c r="D533" i="6"/>
  <c r="D532" i="6"/>
  <c r="D531" i="6"/>
  <c r="D529" i="6"/>
  <c r="E529" i="6" s="1"/>
  <c r="D528" i="6"/>
  <c r="E528" i="6" s="1"/>
  <c r="D526" i="6"/>
  <c r="D525" i="6"/>
  <c r="D524" i="6"/>
  <c r="E524" i="6" s="1"/>
  <c r="D523" i="6"/>
  <c r="D522" i="6"/>
  <c r="E522" i="6" s="1"/>
  <c r="F522" i="6" s="1"/>
  <c r="D521" i="6"/>
  <c r="E521" i="6" s="1"/>
  <c r="F521" i="6" s="1"/>
  <c r="D520" i="6"/>
  <c r="E520" i="6" s="1"/>
  <c r="D519" i="6"/>
  <c r="D518" i="6"/>
  <c r="D517" i="6"/>
  <c r="D515" i="6"/>
  <c r="E515" i="6" s="1"/>
  <c r="D513" i="6"/>
  <c r="D512" i="6"/>
  <c r="E512" i="6" s="1"/>
  <c r="D511" i="6"/>
  <c r="D510" i="6"/>
  <c r="E510" i="6" s="1"/>
  <c r="D509" i="6"/>
  <c r="D508" i="6"/>
  <c r="D507" i="6"/>
  <c r="E507" i="6" s="1"/>
  <c r="F507" i="6" s="1"/>
  <c r="D506" i="6"/>
  <c r="E506" i="6" s="1"/>
  <c r="E504" i="6"/>
  <c r="F504" i="6" s="1"/>
  <c r="D504" i="6"/>
  <c r="D503" i="6"/>
  <c r="E503" i="6" s="1"/>
  <c r="D502" i="6"/>
  <c r="D501" i="6"/>
  <c r="E501" i="6" s="1"/>
  <c r="D500" i="6"/>
  <c r="D499" i="6"/>
  <c r="D498" i="6"/>
  <c r="D496" i="6"/>
  <c r="E496" i="6" s="1"/>
  <c r="D495" i="6"/>
  <c r="E495" i="6" s="1"/>
  <c r="F495" i="6" s="1"/>
  <c r="D494" i="6"/>
  <c r="E494" i="6" s="1"/>
  <c r="F494" i="6" s="1"/>
  <c r="D493" i="6"/>
  <c r="E493" i="6" s="1"/>
  <c r="D492" i="6"/>
  <c r="E492" i="6" s="1"/>
  <c r="D491" i="6"/>
  <c r="D490" i="6"/>
  <c r="E490" i="6" s="1"/>
  <c r="F490" i="6" s="1"/>
  <c r="D489" i="6"/>
  <c r="E489" i="6" s="1"/>
  <c r="F489" i="6" s="1"/>
  <c r="D488" i="6"/>
  <c r="E488" i="6" s="1"/>
  <c r="E487" i="6"/>
  <c r="D487" i="6"/>
  <c r="D485" i="6"/>
  <c r="D484" i="6"/>
  <c r="E484" i="6" s="1"/>
  <c r="F484" i="6" s="1"/>
  <c r="D477" i="6"/>
  <c r="E477" i="6" s="1"/>
  <c r="D476" i="6"/>
  <c r="E476" i="6" s="1"/>
  <c r="F476" i="6" s="1"/>
  <c r="D475" i="6"/>
  <c r="E475" i="6" s="1"/>
  <c r="F475" i="6" s="1"/>
  <c r="D474" i="6"/>
  <c r="D473" i="6"/>
  <c r="E473" i="6" s="1"/>
  <c r="D472" i="6"/>
  <c r="D469" i="6"/>
  <c r="E469" i="6" s="1"/>
  <c r="F469" i="6" s="1"/>
  <c r="D468" i="6"/>
  <c r="D466" i="6"/>
  <c r="E466" i="6" s="1"/>
  <c r="D464" i="6"/>
  <c r="E464" i="6" s="1"/>
  <c r="D463" i="6"/>
  <c r="D462" i="6"/>
  <c r="E462" i="6" s="1"/>
  <c r="F462" i="6" s="1"/>
  <c r="D461" i="6"/>
  <c r="E461" i="6" s="1"/>
  <c r="D460" i="6"/>
  <c r="E459" i="6"/>
  <c r="F459" i="6" s="1"/>
  <c r="D459" i="6"/>
  <c r="D458" i="6"/>
  <c r="D457" i="6"/>
  <c r="D456" i="6"/>
  <c r="D455" i="6"/>
  <c r="E455" i="6" s="1"/>
  <c r="F455" i="6" s="1"/>
  <c r="D454" i="6"/>
  <c r="E454" i="6" s="1"/>
  <c r="F454" i="6" s="1"/>
  <c r="D453" i="6"/>
  <c r="D451" i="6"/>
  <c r="D449" i="6"/>
  <c r="E449" i="6" s="1"/>
  <c r="F449" i="6" s="1"/>
  <c r="D448" i="6"/>
  <c r="E448" i="6" s="1"/>
  <c r="F448" i="6" s="1"/>
  <c r="D447" i="6"/>
  <c r="E447" i="6" s="1"/>
  <c r="F447" i="6" s="1"/>
  <c r="D446" i="6"/>
  <c r="D444" i="6"/>
  <c r="E444" i="6" s="1"/>
  <c r="F444" i="6" s="1"/>
  <c r="E443" i="6"/>
  <c r="D443" i="6"/>
  <c r="F443" i="6" s="1"/>
  <c r="D442" i="6"/>
  <c r="E442" i="6" s="1"/>
  <c r="F442" i="6" s="1"/>
  <c r="D441" i="6"/>
  <c r="D439" i="6"/>
  <c r="E439" i="6" s="1"/>
  <c r="F439" i="6" s="1"/>
  <c r="D438" i="6"/>
  <c r="D436" i="6"/>
  <c r="D435" i="6"/>
  <c r="D434" i="6"/>
  <c r="E434" i="6" s="1"/>
  <c r="F434" i="6" s="1"/>
  <c r="D433" i="6"/>
  <c r="E433" i="6" s="1"/>
  <c r="F433" i="6" s="1"/>
  <c r="D432" i="6"/>
  <c r="D431" i="6"/>
  <c r="E426" i="6"/>
  <c r="F426" i="6" s="1"/>
  <c r="D426" i="6"/>
  <c r="E425" i="6"/>
  <c r="F425" i="6" s="1"/>
  <c r="D424" i="6"/>
  <c r="E424" i="6" s="1"/>
  <c r="F424" i="6" s="1"/>
  <c r="D423" i="6"/>
  <c r="E423" i="6" s="1"/>
  <c r="F423" i="6" s="1"/>
  <c r="D422" i="6"/>
  <c r="D421" i="6"/>
  <c r="D420" i="6"/>
  <c r="E420" i="6" s="1"/>
  <c r="F420" i="6" s="1"/>
  <c r="D419" i="6"/>
  <c r="E419" i="6" s="1"/>
  <c r="D418" i="6"/>
  <c r="E417" i="6"/>
  <c r="D417" i="6"/>
  <c r="E415" i="6"/>
  <c r="F415" i="6" s="1"/>
  <c r="D415" i="6"/>
  <c r="D413" i="6"/>
  <c r="D411" i="6"/>
  <c r="E409" i="6"/>
  <c r="D409" i="6"/>
  <c r="E407" i="6"/>
  <c r="F407" i="6" s="1"/>
  <c r="D407" i="6"/>
  <c r="D406" i="6"/>
  <c r="E406" i="6" s="1"/>
  <c r="D404" i="6"/>
  <c r="D403" i="6"/>
  <c r="D401" i="6"/>
  <c r="E401" i="6" s="1"/>
  <c r="F401" i="6" s="1"/>
  <c r="D399" i="6"/>
  <c r="E399" i="6" s="1"/>
  <c r="D398" i="6"/>
  <c r="D396" i="6"/>
  <c r="E394" i="6"/>
  <c r="F394" i="6" s="1"/>
  <c r="D394" i="6"/>
  <c r="D393" i="6"/>
  <c r="D391" i="6"/>
  <c r="E390" i="6"/>
  <c r="D390" i="6"/>
  <c r="D388" i="6"/>
  <c r="E388" i="6" s="1"/>
  <c r="F388" i="6" s="1"/>
  <c r="D387" i="6"/>
  <c r="E387" i="6" s="1"/>
  <c r="D385" i="6"/>
  <c r="E380" i="6"/>
  <c r="F380" i="6" s="1"/>
  <c r="BL379" i="6"/>
  <c r="BI379" i="6"/>
  <c r="BJ379" i="6" s="1"/>
  <c r="Y379" i="6"/>
  <c r="BL378" i="6"/>
  <c r="BI378" i="6"/>
  <c r="BJ378" i="6" s="1"/>
  <c r="Y378" i="6"/>
  <c r="BL377" i="6"/>
  <c r="BI377" i="6"/>
  <c r="BJ377" i="6" s="1"/>
  <c r="Y377" i="6"/>
  <c r="BL376" i="6"/>
  <c r="BI376" i="6"/>
  <c r="Y376" i="6"/>
  <c r="D369" i="6"/>
  <c r="D365" i="6"/>
  <c r="E365" i="6" s="1"/>
  <c r="F365" i="6" s="1"/>
  <c r="D364" i="6"/>
  <c r="E364" i="6" s="1"/>
  <c r="F364" i="6" s="1"/>
  <c r="D363" i="6"/>
  <c r="F358" i="6"/>
  <c r="G358" i="6" s="1"/>
  <c r="F356" i="6"/>
  <c r="G356" i="6" s="1"/>
  <c r="F355" i="6"/>
  <c r="G355" i="6" s="1"/>
  <c r="F351" i="6"/>
  <c r="G351" i="6" s="1"/>
  <c r="F349" i="6"/>
  <c r="G349" i="6" s="1"/>
  <c r="F348" i="6"/>
  <c r="G348" i="6" s="1"/>
  <c r="F347" i="6"/>
  <c r="F345" i="6"/>
  <c r="G345" i="6" s="1"/>
  <c r="F344" i="6"/>
  <c r="G344" i="6" s="1"/>
  <c r="F343" i="6"/>
  <c r="G343" i="6" s="1"/>
  <c r="F341" i="6"/>
  <c r="G341" i="6" s="1"/>
  <c r="G339" i="6"/>
  <c r="F339" i="6"/>
  <c r="F337" i="6"/>
  <c r="G337" i="6" s="1"/>
  <c r="F336" i="6"/>
  <c r="G336" i="6" s="1"/>
  <c r="BI330" i="6"/>
  <c r="BJ330" i="6" s="1"/>
  <c r="Y330" i="6"/>
  <c r="J330" i="6"/>
  <c r="I330" i="6"/>
  <c r="BI329" i="6"/>
  <c r="Y329" i="6"/>
  <c r="J329" i="6"/>
  <c r="I329" i="6"/>
  <c r="BI328" i="6"/>
  <c r="BJ328" i="6" s="1"/>
  <c r="Y328" i="6"/>
  <c r="J328" i="6"/>
  <c r="I328" i="6"/>
  <c r="F328" i="6"/>
  <c r="G328" i="6" s="1"/>
  <c r="BI327" i="6"/>
  <c r="BJ327" i="6" s="1"/>
  <c r="Y327" i="6"/>
  <c r="J327" i="6"/>
  <c r="I327" i="6"/>
  <c r="BI326" i="6"/>
  <c r="BJ326" i="6" s="1"/>
  <c r="Y326" i="6"/>
  <c r="J326" i="6"/>
  <c r="I326" i="6"/>
  <c r="BI325" i="6"/>
  <c r="Y325" i="6"/>
  <c r="F325" i="6"/>
  <c r="G325" i="6" s="1"/>
  <c r="BI324" i="6"/>
  <c r="BJ324" i="6" s="1"/>
  <c r="Y324" i="6"/>
  <c r="BI323" i="6"/>
  <c r="Y323" i="6"/>
  <c r="F323" i="6"/>
  <c r="G323" i="6" s="1"/>
  <c r="BI322" i="6"/>
  <c r="BJ322" i="6" s="1"/>
  <c r="Y322" i="6"/>
  <c r="BI321" i="6"/>
  <c r="BJ321" i="6" s="1"/>
  <c r="Y321" i="6"/>
  <c r="F321" i="6"/>
  <c r="G321" i="6" s="1"/>
  <c r="BI320" i="6"/>
  <c r="BJ320" i="6" s="1"/>
  <c r="Y320" i="6"/>
  <c r="BI319" i="6"/>
  <c r="Y319" i="6"/>
  <c r="F319" i="6"/>
  <c r="G319" i="6" s="1"/>
  <c r="BI318" i="6"/>
  <c r="BJ318" i="6" s="1"/>
  <c r="Y318" i="6"/>
  <c r="BI317" i="6"/>
  <c r="Y317" i="6"/>
  <c r="F317" i="6"/>
  <c r="G317" i="6" s="1"/>
  <c r="BI316" i="6"/>
  <c r="BJ316" i="6" s="1"/>
  <c r="Y316" i="6"/>
  <c r="BI315" i="6"/>
  <c r="Y315" i="6"/>
  <c r="F315" i="6"/>
  <c r="G315" i="6" s="1"/>
  <c r="BI314" i="6"/>
  <c r="BJ314" i="6" s="1"/>
  <c r="Y314" i="6"/>
  <c r="BI313" i="6"/>
  <c r="BJ313" i="6" s="1"/>
  <c r="Y313" i="6"/>
  <c r="F313" i="6"/>
  <c r="G313" i="6" s="1"/>
  <c r="BI312" i="6"/>
  <c r="BJ312" i="6" s="1"/>
  <c r="Y312" i="6"/>
  <c r="BI311" i="6"/>
  <c r="Y311" i="6"/>
  <c r="J311" i="6"/>
  <c r="I311" i="6"/>
  <c r="BI310" i="6"/>
  <c r="BJ310" i="6" s="1"/>
  <c r="Y310" i="6"/>
  <c r="J310" i="6"/>
  <c r="I310" i="6"/>
  <c r="BI309" i="6"/>
  <c r="BJ309" i="6" s="1"/>
  <c r="Y309" i="6"/>
  <c r="J309" i="6"/>
  <c r="I309" i="6"/>
  <c r="BI308" i="6"/>
  <c r="BJ308" i="6" s="1"/>
  <c r="Y308" i="6"/>
  <c r="F308" i="6"/>
  <c r="G308" i="6" s="1"/>
  <c r="BI307" i="6"/>
  <c r="BJ307" i="6" s="1"/>
  <c r="Y307" i="6"/>
  <c r="BI306" i="6"/>
  <c r="Y306" i="6"/>
  <c r="F306" i="6"/>
  <c r="G306" i="6" s="1"/>
  <c r="BI305" i="6"/>
  <c r="BJ305" i="6" s="1"/>
  <c r="Y305" i="6"/>
  <c r="J305" i="6"/>
  <c r="I305" i="6"/>
  <c r="BI304" i="6"/>
  <c r="BJ304" i="6" s="1"/>
  <c r="Y304" i="6"/>
  <c r="J304" i="6"/>
  <c r="I304" i="6"/>
  <c r="F304" i="6"/>
  <c r="G304" i="6" s="1"/>
  <c r="BI303" i="6"/>
  <c r="BJ303" i="6" s="1"/>
  <c r="Y303" i="6"/>
  <c r="J303" i="6"/>
  <c r="I303" i="6"/>
  <c r="F303" i="6"/>
  <c r="G303" i="6" s="1"/>
  <c r="BI302" i="6"/>
  <c r="BJ302" i="6" s="1"/>
  <c r="Y302" i="6"/>
  <c r="BI301" i="6"/>
  <c r="BJ301" i="6" s="1"/>
  <c r="Y301" i="6"/>
  <c r="BI300" i="6"/>
  <c r="BJ300" i="6" s="1"/>
  <c r="Y300" i="6"/>
  <c r="BI299" i="6"/>
  <c r="BJ299" i="6" s="1"/>
  <c r="Y299" i="6"/>
  <c r="BI298" i="6"/>
  <c r="BJ298" i="6" s="1"/>
  <c r="Y298" i="6"/>
  <c r="J298" i="6"/>
  <c r="I298" i="6"/>
  <c r="BI297" i="6"/>
  <c r="Y297" i="6"/>
  <c r="J297" i="6"/>
  <c r="I297" i="6"/>
  <c r="F297" i="6"/>
  <c r="G297" i="6" s="1"/>
  <c r="BI296" i="6"/>
  <c r="BJ296" i="6" s="1"/>
  <c r="Y296" i="6"/>
  <c r="J296" i="6"/>
  <c r="I296" i="6"/>
  <c r="F296" i="6"/>
  <c r="G296" i="6" s="1"/>
  <c r="BI295" i="6"/>
  <c r="BJ295" i="6" s="1"/>
  <c r="Y295" i="6"/>
  <c r="J295" i="6"/>
  <c r="I295" i="6"/>
  <c r="BI294" i="6"/>
  <c r="BJ294" i="6" s="1"/>
  <c r="Y294" i="6"/>
  <c r="J294" i="6"/>
  <c r="I294" i="6"/>
  <c r="F294" i="6"/>
  <c r="G294" i="6" s="1"/>
  <c r="BI293" i="6"/>
  <c r="BJ293" i="6" s="1"/>
  <c r="Y293" i="6"/>
  <c r="J293" i="6"/>
  <c r="I293" i="6"/>
  <c r="BI292" i="6"/>
  <c r="BJ292" i="6" s="1"/>
  <c r="Y292" i="6"/>
  <c r="J292" i="6"/>
  <c r="I292" i="6"/>
  <c r="BI291" i="6"/>
  <c r="Y291" i="6"/>
  <c r="J291" i="6"/>
  <c r="I291" i="6"/>
  <c r="F291" i="6"/>
  <c r="G291" i="6" s="1"/>
  <c r="BI290" i="6"/>
  <c r="BJ290" i="6" s="1"/>
  <c r="Y290" i="6"/>
  <c r="J290" i="6"/>
  <c r="I290" i="6"/>
  <c r="F290" i="6"/>
  <c r="G290" i="6" s="1"/>
  <c r="BI289" i="6"/>
  <c r="BJ289" i="6" s="1"/>
  <c r="Y289" i="6"/>
  <c r="J289" i="6"/>
  <c r="I289" i="6"/>
  <c r="BI288" i="6"/>
  <c r="BJ288" i="6" s="1"/>
  <c r="Y288" i="6"/>
  <c r="J288" i="6"/>
  <c r="I288" i="6"/>
  <c r="BI287" i="6"/>
  <c r="Y287" i="6"/>
  <c r="J287" i="6"/>
  <c r="I287" i="6"/>
  <c r="BI286" i="6"/>
  <c r="BJ286" i="6" s="1"/>
  <c r="Y286" i="6"/>
  <c r="J286" i="6"/>
  <c r="I286" i="6"/>
  <c r="BI285" i="6"/>
  <c r="BJ285" i="6" s="1"/>
  <c r="Y285" i="6"/>
  <c r="J285" i="6"/>
  <c r="I285" i="6"/>
  <c r="F285" i="6"/>
  <c r="G285" i="6" s="1"/>
  <c r="BI284" i="6"/>
  <c r="Y284" i="6"/>
  <c r="J284" i="6"/>
  <c r="I284" i="6"/>
  <c r="BI283" i="6"/>
  <c r="BJ283" i="6" s="1"/>
  <c r="Y283" i="6"/>
  <c r="J283" i="6"/>
  <c r="I283" i="6"/>
  <c r="F283" i="6"/>
  <c r="G283" i="6" s="1"/>
  <c r="BI282" i="6"/>
  <c r="BJ282" i="6" s="1"/>
  <c r="Y282" i="6"/>
  <c r="J282" i="6"/>
  <c r="I282" i="6"/>
  <c r="F282" i="6"/>
  <c r="G282" i="6" s="1"/>
  <c r="BI281" i="6"/>
  <c r="BJ281" i="6" s="1"/>
  <c r="Y281" i="6"/>
  <c r="J281" i="6"/>
  <c r="I281" i="6"/>
  <c r="BI280" i="6"/>
  <c r="BJ280" i="6" s="1"/>
  <c r="Y280" i="6"/>
  <c r="J280" i="6"/>
  <c r="I280" i="6"/>
  <c r="F280" i="6"/>
  <c r="G280" i="6" s="1"/>
  <c r="BI279" i="6"/>
  <c r="BJ279" i="6" s="1"/>
  <c r="Y279" i="6"/>
  <c r="J279" i="6"/>
  <c r="I279" i="6"/>
  <c r="F279" i="6"/>
  <c r="G279" i="6" s="1"/>
  <c r="BI278" i="6"/>
  <c r="BJ278" i="6" s="1"/>
  <c r="Y278" i="6"/>
  <c r="J278" i="6"/>
  <c r="I278" i="6"/>
  <c r="BI277" i="6"/>
  <c r="BJ277" i="6" s="1"/>
  <c r="Y277" i="6"/>
  <c r="J277" i="6"/>
  <c r="I277" i="6"/>
  <c r="F277" i="6"/>
  <c r="G277" i="6" s="1"/>
  <c r="BI276" i="6"/>
  <c r="BJ276" i="6" s="1"/>
  <c r="Y276" i="6"/>
  <c r="J276" i="6"/>
  <c r="I276" i="6"/>
  <c r="F276" i="6"/>
  <c r="G276" i="6" s="1"/>
  <c r="BI275" i="6"/>
  <c r="Y275" i="6"/>
  <c r="J275" i="6"/>
  <c r="I275" i="6"/>
  <c r="BI274" i="6"/>
  <c r="BJ274" i="6" s="1"/>
  <c r="Y274" i="6"/>
  <c r="J274" i="6"/>
  <c r="I274" i="6"/>
  <c r="F274" i="6"/>
  <c r="G274" i="6" s="1"/>
  <c r="BI273" i="6"/>
  <c r="Y273" i="6"/>
  <c r="J273" i="6"/>
  <c r="I273" i="6"/>
  <c r="F273" i="6"/>
  <c r="G273" i="6" s="1"/>
  <c r="BK272" i="6"/>
  <c r="BI272" i="6"/>
  <c r="Y272" i="6"/>
  <c r="J272" i="6"/>
  <c r="I272" i="6"/>
  <c r="F272" i="6"/>
  <c r="J271" i="6"/>
  <c r="I271" i="6"/>
  <c r="J270" i="6"/>
  <c r="I270" i="6"/>
  <c r="J269" i="6"/>
  <c r="I269" i="6"/>
  <c r="J268" i="6"/>
  <c r="I268" i="6"/>
  <c r="Y266" i="6"/>
  <c r="J266" i="6"/>
  <c r="I266" i="6"/>
  <c r="F266" i="6"/>
  <c r="G266" i="6" s="1"/>
  <c r="Y265" i="6"/>
  <c r="J265" i="6"/>
  <c r="I265" i="6"/>
  <c r="G265" i="6"/>
  <c r="F265" i="6"/>
  <c r="Y264" i="6"/>
  <c r="J264" i="6"/>
  <c r="I264" i="6"/>
  <c r="F264" i="6"/>
  <c r="G264" i="6" s="1"/>
  <c r="Y263" i="6"/>
  <c r="J263" i="6"/>
  <c r="I263" i="6"/>
  <c r="F263" i="6"/>
  <c r="Y262" i="6"/>
  <c r="J262" i="6"/>
  <c r="I262" i="6"/>
  <c r="F262" i="6"/>
  <c r="G262" i="6" s="1"/>
  <c r="Y261" i="6"/>
  <c r="J261" i="6"/>
  <c r="I261" i="6"/>
  <c r="F261" i="6"/>
  <c r="G261" i="6" s="1"/>
  <c r="Y260" i="6"/>
  <c r="J260" i="6"/>
  <c r="I260" i="6"/>
  <c r="F260" i="6"/>
  <c r="G260" i="6" s="1"/>
  <c r="J259" i="6"/>
  <c r="I259" i="6"/>
  <c r="J258" i="6"/>
  <c r="I258" i="6"/>
  <c r="J257" i="6"/>
  <c r="I257" i="6"/>
  <c r="J256" i="6"/>
  <c r="I256" i="6"/>
  <c r="J255" i="6"/>
  <c r="I255" i="6"/>
  <c r="J254" i="6"/>
  <c r="I254" i="6"/>
  <c r="F254" i="6"/>
  <c r="G254" i="6" s="1"/>
  <c r="F253" i="6"/>
  <c r="G253" i="6" s="1"/>
  <c r="J252" i="6"/>
  <c r="I252" i="6"/>
  <c r="F252" i="6"/>
  <c r="G252" i="6" s="1"/>
  <c r="F251" i="6"/>
  <c r="G251" i="6" s="1"/>
  <c r="J250" i="6"/>
  <c r="I250" i="6"/>
  <c r="F248" i="6"/>
  <c r="G248" i="6" s="1"/>
  <c r="J245" i="6"/>
  <c r="I245" i="6"/>
  <c r="J244" i="6"/>
  <c r="I244" i="6"/>
  <c r="J243" i="6"/>
  <c r="I243" i="6"/>
  <c r="F240" i="6"/>
  <c r="G240" i="6" s="1"/>
  <c r="F237" i="6"/>
  <c r="G237" i="6" s="1"/>
  <c r="F232" i="6"/>
  <c r="G232" i="6" s="1"/>
  <c r="F231" i="6"/>
  <c r="G231" i="6" s="1"/>
  <c r="F229" i="6"/>
  <c r="G229" i="6" s="1"/>
  <c r="F228" i="6"/>
  <c r="G228" i="6" s="1"/>
  <c r="F227" i="6"/>
  <c r="G227" i="6" s="1"/>
  <c r="F225" i="6"/>
  <c r="G225" i="6" s="1"/>
  <c r="F223" i="6"/>
  <c r="G223" i="6" s="1"/>
  <c r="F221" i="6"/>
  <c r="G221" i="6" s="1"/>
  <c r="F220" i="6"/>
  <c r="F219" i="6"/>
  <c r="J218" i="6"/>
  <c r="I218" i="6"/>
  <c r="J217" i="6"/>
  <c r="I217" i="6"/>
  <c r="J216" i="6"/>
  <c r="I216" i="6"/>
  <c r="F216" i="6"/>
  <c r="G216" i="6" s="1"/>
  <c r="J215" i="6"/>
  <c r="I215" i="6"/>
  <c r="J214" i="6"/>
  <c r="I214" i="6"/>
  <c r="F214" i="6"/>
  <c r="G214" i="6" s="1"/>
  <c r="J213" i="6"/>
  <c r="J212" i="6"/>
  <c r="I212" i="6"/>
  <c r="F212" i="6"/>
  <c r="G212" i="6" s="1"/>
  <c r="J211" i="6"/>
  <c r="I211" i="6"/>
  <c r="F209" i="6"/>
  <c r="G209" i="6" s="1"/>
  <c r="F208" i="6"/>
  <c r="G208" i="6" s="1"/>
  <c r="F206" i="6"/>
  <c r="F205" i="6"/>
  <c r="G205" i="6" s="1"/>
  <c r="F204" i="6"/>
  <c r="G204" i="6" s="1"/>
  <c r="F201" i="6"/>
  <c r="G201" i="6" s="1"/>
  <c r="F200" i="6"/>
  <c r="G200" i="6" s="1"/>
  <c r="F197" i="6"/>
  <c r="G197" i="6" s="1"/>
  <c r="F196" i="6"/>
  <c r="G196" i="6" s="1"/>
  <c r="BH194" i="6"/>
  <c r="BI194" i="6" s="1"/>
  <c r="F194" i="6"/>
  <c r="G194" i="6" s="1"/>
  <c r="F193" i="6"/>
  <c r="G193" i="6" s="1"/>
  <c r="H190" i="6"/>
  <c r="F190" i="6"/>
  <c r="G190" i="6" s="1"/>
  <c r="H189" i="6"/>
  <c r="F189" i="6"/>
  <c r="G189" i="6" s="1"/>
  <c r="H188" i="6"/>
  <c r="H187" i="6"/>
  <c r="F187" i="6"/>
  <c r="G187" i="6" s="1"/>
  <c r="J185" i="6"/>
  <c r="I184" i="6"/>
  <c r="J184" i="6"/>
  <c r="J183" i="6"/>
  <c r="J182" i="6"/>
  <c r="J181" i="6"/>
  <c r="I181" i="6"/>
  <c r="I179" i="6"/>
  <c r="F179" i="6"/>
  <c r="G179" i="6" s="1"/>
  <c r="J178" i="6"/>
  <c r="J177" i="6"/>
  <c r="I177" i="6"/>
  <c r="F177" i="6"/>
  <c r="G177" i="6" s="1"/>
  <c r="J176" i="6"/>
  <c r="I176" i="6"/>
  <c r="F176" i="6"/>
  <c r="G176" i="6" s="1"/>
  <c r="F175" i="6"/>
  <c r="G175" i="6" s="1"/>
  <c r="I172" i="6"/>
  <c r="J172" i="6"/>
  <c r="J171" i="6"/>
  <c r="J170" i="6"/>
  <c r="I170" i="6"/>
  <c r="J169" i="6"/>
  <c r="I169" i="6"/>
  <c r="I168" i="6"/>
  <c r="F168" i="6"/>
  <c r="G168" i="6" s="1"/>
  <c r="J168" i="6"/>
  <c r="J167" i="6"/>
  <c r="F167" i="6"/>
  <c r="G167" i="6" s="1"/>
  <c r="J166" i="6"/>
  <c r="J165" i="6"/>
  <c r="I165" i="6"/>
  <c r="F165" i="6"/>
  <c r="G165" i="6" s="1"/>
  <c r="J164" i="6"/>
  <c r="I164" i="6"/>
  <c r="F164" i="6"/>
  <c r="G164" i="6" s="1"/>
  <c r="I163" i="6"/>
  <c r="F163" i="6"/>
  <c r="G163" i="6" s="1"/>
  <c r="I160" i="6"/>
  <c r="J160" i="6"/>
  <c r="J159" i="6"/>
  <c r="J158" i="6"/>
  <c r="I158" i="6"/>
  <c r="F158" i="6"/>
  <c r="J157" i="6"/>
  <c r="I157" i="6"/>
  <c r="I156" i="6"/>
  <c r="F156" i="6"/>
  <c r="G156" i="6" s="1"/>
  <c r="J156" i="6"/>
  <c r="J155" i="6"/>
  <c r="I155" i="6"/>
  <c r="J154" i="6"/>
  <c r="J153" i="6"/>
  <c r="I153" i="6"/>
  <c r="F153" i="6"/>
  <c r="G153" i="6" s="1"/>
  <c r="J152" i="6"/>
  <c r="I152" i="6"/>
  <c r="F152" i="6"/>
  <c r="G152" i="6" s="1"/>
  <c r="F151" i="6"/>
  <c r="G151" i="6" s="1"/>
  <c r="F149" i="6"/>
  <c r="J148" i="6"/>
  <c r="J147" i="6"/>
  <c r="J146" i="6"/>
  <c r="I146" i="6"/>
  <c r="F146" i="6"/>
  <c r="G146" i="6" s="1"/>
  <c r="J145" i="6"/>
  <c r="I145" i="6"/>
  <c r="F145" i="6"/>
  <c r="G145" i="6" s="1"/>
  <c r="J144" i="6"/>
  <c r="J143" i="6"/>
  <c r="I143" i="6"/>
  <c r="F143" i="6"/>
  <c r="G143" i="6" s="1"/>
  <c r="J142" i="6"/>
  <c r="J141" i="6"/>
  <c r="I141" i="6"/>
  <c r="F141" i="6"/>
  <c r="G141" i="6" s="1"/>
  <c r="J140" i="6"/>
  <c r="I140" i="6"/>
  <c r="F140" i="6"/>
  <c r="G140" i="6" s="1"/>
  <c r="F139" i="6"/>
  <c r="G139" i="6" s="1"/>
  <c r="F137" i="6"/>
  <c r="I136" i="6"/>
  <c r="J136" i="6"/>
  <c r="J135" i="6"/>
  <c r="J134" i="6"/>
  <c r="F134" i="6"/>
  <c r="G134" i="6" s="1"/>
  <c r="J133" i="6"/>
  <c r="I133" i="6"/>
  <c r="F133" i="6"/>
  <c r="G133" i="6" s="1"/>
  <c r="I132" i="6"/>
  <c r="F132" i="6"/>
  <c r="G132" i="6" s="1"/>
  <c r="J132" i="6"/>
  <c r="J131" i="6"/>
  <c r="I131" i="6"/>
  <c r="F131" i="6"/>
  <c r="G131" i="6" s="1"/>
  <c r="J130" i="6"/>
  <c r="J129" i="6"/>
  <c r="I129" i="6"/>
  <c r="F129" i="6"/>
  <c r="G129" i="6" s="1"/>
  <c r="J128" i="6"/>
  <c r="I128" i="6"/>
  <c r="F128" i="6"/>
  <c r="G128" i="6" s="1"/>
  <c r="F127" i="6"/>
  <c r="G127" i="6" s="1"/>
  <c r="F126" i="6"/>
  <c r="J125" i="6"/>
  <c r="I124" i="6"/>
  <c r="J124" i="6"/>
  <c r="J123" i="6"/>
  <c r="J122" i="6"/>
  <c r="I122" i="6"/>
  <c r="F122" i="6"/>
  <c r="G122" i="6" s="1"/>
  <c r="J121" i="6"/>
  <c r="I121" i="6"/>
  <c r="F121" i="6"/>
  <c r="G121" i="6" s="1"/>
  <c r="I120" i="6"/>
  <c r="F120" i="6"/>
  <c r="G120" i="6" s="1"/>
  <c r="J120" i="6"/>
  <c r="J119" i="6"/>
  <c r="I119" i="6"/>
  <c r="F119" i="6"/>
  <c r="G119" i="6" s="1"/>
  <c r="F118" i="6"/>
  <c r="J117" i="6"/>
  <c r="I117" i="6"/>
  <c r="F117" i="6"/>
  <c r="G117" i="6" s="1"/>
  <c r="BH116" i="6"/>
  <c r="J115" i="6"/>
  <c r="I115" i="6"/>
  <c r="F115" i="6"/>
  <c r="G115" i="6" s="1"/>
  <c r="J114" i="6"/>
  <c r="F113" i="6"/>
  <c r="G113" i="6" s="1"/>
  <c r="J112" i="6"/>
  <c r="I112" i="6"/>
  <c r="F112" i="6"/>
  <c r="G112" i="6" s="1"/>
  <c r="J111" i="6"/>
  <c r="I110" i="6"/>
  <c r="J110" i="6"/>
  <c r="J109" i="6"/>
  <c r="I108" i="6"/>
  <c r="F108" i="6"/>
  <c r="G108" i="6" s="1"/>
  <c r="J107" i="6"/>
  <c r="I107" i="6"/>
  <c r="F107" i="6"/>
  <c r="G107" i="6" s="1"/>
  <c r="I106" i="6"/>
  <c r="F106" i="6"/>
  <c r="G106" i="6" s="1"/>
  <c r="J106" i="6"/>
  <c r="J105" i="6"/>
  <c r="I105" i="6"/>
  <c r="F105" i="6"/>
  <c r="G105" i="6" s="1"/>
  <c r="J104" i="6"/>
  <c r="J103" i="6"/>
  <c r="I103" i="6"/>
  <c r="F103" i="6"/>
  <c r="G103" i="6" s="1"/>
  <c r="F101" i="6"/>
  <c r="G101" i="6" s="1"/>
  <c r="J100" i="6"/>
  <c r="I100" i="6"/>
  <c r="F100" i="6"/>
  <c r="G100" i="6" s="1"/>
  <c r="I99" i="6"/>
  <c r="F99" i="6"/>
  <c r="G99" i="6" s="1"/>
  <c r="BI99" i="6"/>
  <c r="BH98" i="6"/>
  <c r="BI98" i="6" s="1"/>
  <c r="AL98" i="6"/>
  <c r="AM98" i="6" s="1"/>
  <c r="AN98" i="6" s="1"/>
  <c r="J98" i="6"/>
  <c r="I98" i="6"/>
  <c r="F98" i="6"/>
  <c r="G98" i="6" s="1"/>
  <c r="E432" i="6" l="1"/>
  <c r="F432" i="6" s="1"/>
  <c r="E438" i="6"/>
  <c r="F438" i="6" s="1"/>
  <c r="F496" i="6"/>
  <c r="F663" i="6"/>
  <c r="F1033" i="6"/>
  <c r="E543" i="6"/>
  <c r="F543" i="6" s="1"/>
  <c r="E453" i="6"/>
  <c r="F453" i="6" s="1"/>
  <c r="E457" i="6"/>
  <c r="F457" i="6" s="1"/>
  <c r="E498" i="6"/>
  <c r="F498" i="6" s="1"/>
  <c r="F900" i="6"/>
  <c r="E958" i="6"/>
  <c r="F958" i="6" s="1"/>
  <c r="F780" i="6"/>
  <c r="F792" i="6"/>
  <c r="F848" i="6"/>
  <c r="F473" i="6"/>
  <c r="E511" i="6"/>
  <c r="F511" i="6" s="1"/>
  <c r="F524" i="6"/>
  <c r="F552" i="6"/>
  <c r="F417" i="6"/>
  <c r="F579" i="6"/>
  <c r="F705" i="6"/>
  <c r="E436" i="6"/>
  <c r="F436" i="6" s="1"/>
  <c r="E517" i="6"/>
  <c r="F517" i="6" s="1"/>
  <c r="F560" i="6"/>
  <c r="E570" i="6"/>
  <c r="F570" i="6" s="1"/>
  <c r="F672" i="6"/>
  <c r="F693" i="6"/>
  <c r="E733" i="6"/>
  <c r="F733" i="6" s="1"/>
  <c r="E743" i="6"/>
  <c r="F743" i="6" s="1"/>
  <c r="E749" i="6"/>
  <c r="F749" i="6" s="1"/>
  <c r="F561" i="6"/>
  <c r="F571" i="6"/>
  <c r="F664" i="6"/>
  <c r="E685" i="6"/>
  <c r="F685" i="6" s="1"/>
  <c r="F723" i="6"/>
  <c r="F734" i="6"/>
  <c r="E982" i="6"/>
  <c r="F982" i="6" s="1"/>
  <c r="F1046" i="6"/>
  <c r="F396" i="6"/>
  <c r="F582" i="6"/>
  <c r="F718" i="6"/>
  <c r="E396" i="6"/>
  <c r="F409" i="6"/>
  <c r="F493" i="6"/>
  <c r="F501" i="6"/>
  <c r="F520" i="6"/>
  <c r="E582" i="6"/>
  <c r="E718" i="6"/>
  <c r="E735" i="6"/>
  <c r="F735" i="6" s="1"/>
  <c r="F886" i="6"/>
  <c r="F502" i="6"/>
  <c r="F719" i="6"/>
  <c r="E502" i="6"/>
  <c r="F626" i="6"/>
  <c r="E719" i="6"/>
  <c r="E937" i="6"/>
  <c r="F937" i="6" s="1"/>
  <c r="E965" i="6"/>
  <c r="F965" i="6" s="1"/>
  <c r="E468" i="6"/>
  <c r="F468" i="6" s="1"/>
  <c r="E549" i="6"/>
  <c r="F549" i="6" s="1"/>
  <c r="E565" i="6"/>
  <c r="F565" i="6" s="1"/>
  <c r="E458" i="6"/>
  <c r="F458" i="6" s="1"/>
  <c r="F487" i="6"/>
  <c r="F534" i="6"/>
  <c r="E963" i="6"/>
  <c r="F963" i="6" s="1"/>
  <c r="F1050" i="6"/>
  <c r="F390" i="6"/>
  <c r="F721" i="6"/>
  <c r="F1453" i="6"/>
  <c r="F387" i="6"/>
  <c r="F406" i="6"/>
  <c r="E474" i="6"/>
  <c r="F474" i="6" s="1"/>
  <c r="F506" i="6"/>
  <c r="F512" i="6"/>
  <c r="E526" i="6"/>
  <c r="F526" i="6" s="1"/>
  <c r="E546" i="6"/>
  <c r="F546" i="6" s="1"/>
  <c r="F577" i="6"/>
  <c r="F618" i="6"/>
  <c r="F647" i="6"/>
  <c r="F655" i="6"/>
  <c r="F710" i="6"/>
  <c r="F729" i="6"/>
  <c r="F744" i="6"/>
  <c r="F980" i="6"/>
  <c r="E1028" i="6"/>
  <c r="F1028" i="6" s="1"/>
  <c r="BJ323" i="6"/>
  <c r="F860" i="6"/>
  <c r="E980" i="6"/>
  <c r="E1014" i="6"/>
  <c r="F1014" i="6" s="1"/>
  <c r="E1049" i="6"/>
  <c r="F1049" i="6" s="1"/>
  <c r="BI116" i="6"/>
  <c r="G126" i="6"/>
  <c r="J126" i="6"/>
  <c r="F186" i="6"/>
  <c r="G186" i="6" s="1"/>
  <c r="E363" i="6"/>
  <c r="F363" i="6" s="1"/>
  <c r="F488" i="6"/>
  <c r="F528" i="6"/>
  <c r="E541" i="6"/>
  <c r="F541" i="6" s="1"/>
  <c r="E572" i="6"/>
  <c r="F572" i="6" s="1"/>
  <c r="E578" i="6"/>
  <c r="F578" i="6" s="1"/>
  <c r="E583" i="6"/>
  <c r="F583" i="6" s="1"/>
  <c r="F640" i="6"/>
  <c r="F648" i="6"/>
  <c r="F656" i="6"/>
  <c r="F684" i="6"/>
  <c r="F731" i="6"/>
  <c r="E929" i="6"/>
  <c r="F929" i="6" s="1"/>
  <c r="F138" i="6"/>
  <c r="G138" i="6" s="1"/>
  <c r="F150" i="6"/>
  <c r="G150" i="6" s="1"/>
  <c r="I186" i="6"/>
  <c r="F464" i="6"/>
  <c r="I150" i="6"/>
  <c r="F162" i="6"/>
  <c r="G162" i="6" s="1"/>
  <c r="F174" i="6"/>
  <c r="F399" i="6"/>
  <c r="F419" i="6"/>
  <c r="F461" i="6"/>
  <c r="E567" i="6"/>
  <c r="F567" i="6" s="1"/>
  <c r="F573" i="6"/>
  <c r="E698" i="6"/>
  <c r="F698" i="6" s="1"/>
  <c r="E712" i="6"/>
  <c r="F712" i="6" s="1"/>
  <c r="E984" i="6"/>
  <c r="F984" i="6" s="1"/>
  <c r="E993" i="6"/>
  <c r="F993" i="6" s="1"/>
  <c r="E1175" i="6"/>
  <c r="F1175" i="6" s="1"/>
  <c r="G263" i="6"/>
  <c r="F102" i="6"/>
  <c r="G102" i="6" s="1"/>
  <c r="I162" i="6"/>
  <c r="G174" i="6"/>
  <c r="BJ329" i="6"/>
  <c r="I102" i="6"/>
  <c r="J162" i="6"/>
  <c r="I174" i="6"/>
  <c r="E509" i="6"/>
  <c r="F509" i="6" s="1"/>
  <c r="E531" i="6"/>
  <c r="F531" i="6" s="1"/>
  <c r="F556" i="6"/>
  <c r="F585" i="6"/>
  <c r="F614" i="6"/>
  <c r="F873" i="6"/>
  <c r="E994" i="6"/>
  <c r="F994" i="6" s="1"/>
  <c r="E1012" i="6"/>
  <c r="F1012" i="6" s="1"/>
  <c r="F1030" i="6"/>
  <c r="G347" i="6"/>
  <c r="BJ376" i="6"/>
  <c r="BJ287" i="6"/>
  <c r="F503" i="6"/>
  <c r="F580" i="6"/>
  <c r="F686" i="6"/>
  <c r="F742" i="6"/>
  <c r="F754" i="6"/>
  <c r="F940" i="6"/>
  <c r="F985" i="6"/>
  <c r="G158" i="6"/>
  <c r="F959" i="6"/>
  <c r="F114" i="6"/>
  <c r="G114" i="6" s="1"/>
  <c r="G219" i="6"/>
  <c r="G272" i="6"/>
  <c r="BJ275" i="6"/>
  <c r="E393" i="6"/>
  <c r="F393" i="6" s="1"/>
  <c r="E403" i="6"/>
  <c r="F403" i="6" s="1"/>
  <c r="E413" i="6"/>
  <c r="F413" i="6" s="1"/>
  <c r="E421" i="6"/>
  <c r="F421" i="6" s="1"/>
  <c r="E463" i="6"/>
  <c r="F463" i="6" s="1"/>
  <c r="E491" i="6"/>
  <c r="F491" i="6" s="1"/>
  <c r="E519" i="6"/>
  <c r="F519" i="6" s="1"/>
  <c r="E525" i="6"/>
  <c r="F525" i="6" s="1"/>
  <c r="E532" i="6"/>
  <c r="F532" i="6" s="1"/>
  <c r="E563" i="6"/>
  <c r="F563" i="6" s="1"/>
  <c r="F668" i="6"/>
  <c r="F680" i="6"/>
  <c r="E703" i="6"/>
  <c r="F703" i="6" s="1"/>
  <c r="E709" i="6"/>
  <c r="F709" i="6" s="1"/>
  <c r="F715" i="6"/>
  <c r="F814" i="6"/>
  <c r="F825" i="6"/>
  <c r="E891" i="6"/>
  <c r="F891" i="6" s="1"/>
  <c r="F931" i="6"/>
  <c r="F949" i="6"/>
  <c r="E979" i="6"/>
  <c r="F979" i="6" s="1"/>
  <c r="E990" i="6"/>
  <c r="F990" i="6" s="1"/>
  <c r="E1020" i="6"/>
  <c r="F1020" i="6" s="1"/>
  <c r="E1171" i="6"/>
  <c r="F1171" i="6" s="1"/>
  <c r="F558" i="6"/>
  <c r="F720" i="6"/>
  <c r="F1034" i="6"/>
  <c r="E376" i="6"/>
  <c r="F376" i="6" s="1"/>
  <c r="BJ325" i="6"/>
  <c r="BJ319" i="6"/>
  <c r="BJ317" i="6"/>
  <c r="BJ315" i="6"/>
  <c r="BJ311" i="6"/>
  <c r="BJ306" i="6"/>
  <c r="F301" i="6"/>
  <c r="G301" i="6" s="1"/>
  <c r="BJ297" i="6"/>
  <c r="F293" i="6"/>
  <c r="G293" i="6" s="1"/>
  <c r="BJ291" i="6"/>
  <c r="BJ284" i="6"/>
  <c r="BJ273" i="6"/>
  <c r="BJ272" i="6"/>
  <c r="F182" i="6"/>
  <c r="G182" i="6" s="1"/>
  <c r="J180" i="6"/>
  <c r="F180" i="6"/>
  <c r="G180" i="6" s="1"/>
  <c r="G170" i="6"/>
  <c r="F144" i="6"/>
  <c r="G144" i="6" s="1"/>
  <c r="I138" i="6"/>
  <c r="F111" i="6"/>
  <c r="I139" i="6"/>
  <c r="F161" i="6"/>
  <c r="G161" i="6" s="1"/>
  <c r="F185" i="6"/>
  <c r="G185" i="6" s="1"/>
  <c r="F215" i="6"/>
  <c r="G215" i="6" s="1"/>
  <c r="G220" i="6"/>
  <c r="H220" i="6" s="1"/>
  <c r="F310" i="6"/>
  <c r="G310" i="6" s="1"/>
  <c r="F327" i="6"/>
  <c r="G327" i="6" s="1"/>
  <c r="F330" i="6"/>
  <c r="G330" i="6" s="1"/>
  <c r="E377" i="6"/>
  <c r="F377" i="6" s="1"/>
  <c r="E385" i="6"/>
  <c r="F385" i="6" s="1"/>
  <c r="E391" i="6"/>
  <c r="F391" i="6" s="1"/>
  <c r="E398" i="6"/>
  <c r="F398" i="6" s="1"/>
  <c r="E404" i="6"/>
  <c r="F404" i="6" s="1"/>
  <c r="E411" i="6"/>
  <c r="F411" i="6" s="1"/>
  <c r="E418" i="6"/>
  <c r="F418" i="6" s="1"/>
  <c r="E422" i="6"/>
  <c r="F422" i="6" s="1"/>
  <c r="E472" i="6"/>
  <c r="F472" i="6" s="1"/>
  <c r="F492" i="6"/>
  <c r="E518" i="6"/>
  <c r="F518" i="6" s="1"/>
  <c r="E533" i="6"/>
  <c r="F533" i="6" s="1"/>
  <c r="F547" i="6"/>
  <c r="E584" i="6"/>
  <c r="F584" i="6" s="1"/>
  <c r="E608" i="6"/>
  <c r="F608" i="6" s="1"/>
  <c r="E615" i="6"/>
  <c r="F615" i="6" s="1"/>
  <c r="E621" i="6"/>
  <c r="F621" i="6" s="1"/>
  <c r="F627" i="6"/>
  <c r="F634" i="6"/>
  <c r="E642" i="6"/>
  <c r="F642" i="6" s="1"/>
  <c r="F649" i="6"/>
  <c r="F696" i="6"/>
  <c r="F845" i="6"/>
  <c r="E662" i="6"/>
  <c r="F662" i="6" s="1"/>
  <c r="F1287" i="6"/>
  <c r="J108" i="6"/>
  <c r="F125" i="6"/>
  <c r="F173" i="6"/>
  <c r="G173" i="6" s="1"/>
  <c r="F130" i="6"/>
  <c r="G130" i="6" s="1"/>
  <c r="F142" i="6"/>
  <c r="G142" i="6" s="1"/>
  <c r="F154" i="6"/>
  <c r="G154" i="6" s="1"/>
  <c r="F178" i="6"/>
  <c r="G178" i="6" s="1"/>
  <c r="F202" i="6"/>
  <c r="G202" i="6" s="1"/>
  <c r="E764" i="6"/>
  <c r="F764" i="6" s="1"/>
  <c r="E788" i="6"/>
  <c r="F788" i="6" s="1"/>
  <c r="E810" i="6"/>
  <c r="F810" i="6" s="1"/>
  <c r="E821" i="6"/>
  <c r="F821" i="6" s="1"/>
  <c r="E832" i="6"/>
  <c r="F832" i="6" s="1"/>
  <c r="E1044" i="6"/>
  <c r="F1044" i="6" s="1"/>
  <c r="F104" i="6"/>
  <c r="G104" i="6" s="1"/>
  <c r="F116" i="6"/>
  <c r="G116" i="6" s="1"/>
  <c r="G149" i="6"/>
  <c r="F198" i="6"/>
  <c r="G198" i="6" s="1"/>
  <c r="E671" i="6"/>
  <c r="F671" i="6" s="1"/>
  <c r="E776" i="6"/>
  <c r="F776" i="6" s="1"/>
  <c r="E798" i="6"/>
  <c r="F798" i="6" s="1"/>
  <c r="J99" i="6"/>
  <c r="F109" i="6"/>
  <c r="G109" i="6" s="1"/>
  <c r="I111" i="6"/>
  <c r="G118" i="6"/>
  <c r="F123" i="6"/>
  <c r="G123" i="6" s="1"/>
  <c r="I125" i="6"/>
  <c r="F135" i="6"/>
  <c r="G135" i="6" s="1"/>
  <c r="I137" i="6"/>
  <c r="F147" i="6"/>
  <c r="I149" i="6"/>
  <c r="F159" i="6"/>
  <c r="G159" i="6" s="1"/>
  <c r="I161" i="6"/>
  <c r="F171" i="6"/>
  <c r="G171" i="6" s="1"/>
  <c r="I173" i="6"/>
  <c r="F183" i="6"/>
  <c r="G183" i="6" s="1"/>
  <c r="I185" i="6"/>
  <c r="F188" i="6"/>
  <c r="G188" i="6" s="1"/>
  <c r="F191" i="6"/>
  <c r="G191" i="6" s="1"/>
  <c r="G206" i="6"/>
  <c r="G210" i="6"/>
  <c r="F213" i="6"/>
  <c r="G213" i="6" s="1"/>
  <c r="F226" i="6"/>
  <c r="G226" i="6" s="1"/>
  <c r="F230" i="6"/>
  <c r="G230" i="6" s="1"/>
  <c r="F234" i="6"/>
  <c r="G234" i="6" s="1"/>
  <c r="F239" i="6"/>
  <c r="G239" i="6" s="1"/>
  <c r="F275" i="6"/>
  <c r="G275" i="6" s="1"/>
  <c r="F278" i="6"/>
  <c r="G278" i="6" s="1"/>
  <c r="F281" i="6"/>
  <c r="G281" i="6" s="1"/>
  <c r="F284" i="6"/>
  <c r="G284" i="6" s="1"/>
  <c r="F286" i="6"/>
  <c r="G286" i="6" s="1"/>
  <c r="F289" i="6"/>
  <c r="G289" i="6" s="1"/>
  <c r="F292" i="6"/>
  <c r="G292" i="6" s="1"/>
  <c r="F295" i="6"/>
  <c r="G295" i="6" s="1"/>
  <c r="F298" i="6"/>
  <c r="G298" i="6" s="1"/>
  <c r="F305" i="6"/>
  <c r="G305" i="6" s="1"/>
  <c r="F338" i="6"/>
  <c r="G338" i="6" s="1"/>
  <c r="F342" i="6"/>
  <c r="G342" i="6" s="1"/>
  <c r="F346" i="6"/>
  <c r="G346" i="6" s="1"/>
  <c r="F350" i="6"/>
  <c r="G350" i="6" s="1"/>
  <c r="F354" i="6"/>
  <c r="G354" i="6" s="1"/>
  <c r="F359" i="6"/>
  <c r="G359" i="6" s="1"/>
  <c r="E369" i="6"/>
  <c r="F369" i="6" s="1"/>
  <c r="E379" i="6"/>
  <c r="F379" i="6" s="1"/>
  <c r="E431" i="6"/>
  <c r="F431" i="6" s="1"/>
  <c r="E435" i="6"/>
  <c r="F435" i="6" s="1"/>
  <c r="E441" i="6"/>
  <c r="F441" i="6" s="1"/>
  <c r="E446" i="6"/>
  <c r="F446" i="6" s="1"/>
  <c r="E451" i="6"/>
  <c r="F451" i="6" s="1"/>
  <c r="E456" i="6"/>
  <c r="F456" i="6" s="1"/>
  <c r="E460" i="6"/>
  <c r="F460" i="6" s="1"/>
  <c r="F477" i="6"/>
  <c r="E508" i="6"/>
  <c r="F508" i="6" s="1"/>
  <c r="E523" i="6"/>
  <c r="F523" i="6" s="1"/>
  <c r="F538" i="6"/>
  <c r="E562" i="6"/>
  <c r="F562" i="6" s="1"/>
  <c r="E576" i="6"/>
  <c r="F576" i="6" s="1"/>
  <c r="F609" i="6"/>
  <c r="F616" i="6"/>
  <c r="F622" i="6"/>
  <c r="E628" i="6"/>
  <c r="F628" i="6" s="1"/>
  <c r="F635" i="6"/>
  <c r="F643" i="6"/>
  <c r="E650" i="6"/>
  <c r="F650" i="6" s="1"/>
  <c r="F657" i="6"/>
  <c r="F1026" i="6"/>
  <c r="I113" i="6"/>
  <c r="I127" i="6"/>
  <c r="I151" i="6"/>
  <c r="G125" i="6"/>
  <c r="F166" i="6"/>
  <c r="G166" i="6" s="1"/>
  <c r="I104" i="6"/>
  <c r="J137" i="6"/>
  <c r="J149" i="6"/>
  <c r="J161" i="6"/>
  <c r="J173" i="6"/>
  <c r="E629" i="6"/>
  <c r="F629" i="6" s="1"/>
  <c r="E951" i="6"/>
  <c r="F951" i="6" s="1"/>
  <c r="F1370" i="6"/>
  <c r="G111" i="6"/>
  <c r="J163" i="6"/>
  <c r="J175" i="6"/>
  <c r="E683" i="6"/>
  <c r="F683" i="6" s="1"/>
  <c r="I116" i="6"/>
  <c r="I118" i="6"/>
  <c r="I130" i="6"/>
  <c r="I142" i="6"/>
  <c r="G147" i="6"/>
  <c r="I154" i="6"/>
  <c r="I166" i="6"/>
  <c r="I178" i="6"/>
  <c r="I109" i="6"/>
  <c r="J116" i="6"/>
  <c r="J118" i="6"/>
  <c r="I123" i="6"/>
  <c r="I135" i="6"/>
  <c r="I147" i="6"/>
  <c r="F157" i="6"/>
  <c r="G157" i="6" s="1"/>
  <c r="I159" i="6"/>
  <c r="F169" i="6"/>
  <c r="G169" i="6" s="1"/>
  <c r="I171" i="6"/>
  <c r="F181" i="6"/>
  <c r="G181" i="6" s="1"/>
  <c r="I183" i="6"/>
  <c r="F195" i="6"/>
  <c r="G195" i="6" s="1"/>
  <c r="F199" i="6"/>
  <c r="G199" i="6" s="1"/>
  <c r="F203" i="6"/>
  <c r="G203" i="6" s="1"/>
  <c r="F207" i="6"/>
  <c r="G207" i="6" s="1"/>
  <c r="F211" i="6"/>
  <c r="G211" i="6" s="1"/>
  <c r="I213" i="6"/>
  <c r="F300" i="6"/>
  <c r="G300" i="6" s="1"/>
  <c r="F302" i="6"/>
  <c r="G302" i="6" s="1"/>
  <c r="F307" i="6"/>
  <c r="G307" i="6" s="1"/>
  <c r="F309" i="6"/>
  <c r="G309" i="6" s="1"/>
  <c r="F312" i="6"/>
  <c r="G312" i="6" s="1"/>
  <c r="F314" i="6"/>
  <c r="G314" i="6" s="1"/>
  <c r="F316" i="6"/>
  <c r="G316" i="6" s="1"/>
  <c r="F318" i="6"/>
  <c r="G318" i="6" s="1"/>
  <c r="F320" i="6"/>
  <c r="G320" i="6" s="1"/>
  <c r="F322" i="6"/>
  <c r="G322" i="6" s="1"/>
  <c r="F324" i="6"/>
  <c r="G324" i="6" s="1"/>
  <c r="F326" i="6"/>
  <c r="G326" i="6" s="1"/>
  <c r="F329" i="6"/>
  <c r="G329" i="6" s="1"/>
  <c r="F466" i="6"/>
  <c r="E499" i="6"/>
  <c r="F499" i="6" s="1"/>
  <c r="E513" i="6"/>
  <c r="F513" i="6" s="1"/>
  <c r="F529" i="6"/>
  <c r="E554" i="6"/>
  <c r="F554" i="6" s="1"/>
  <c r="E568" i="6"/>
  <c r="F568" i="6" s="1"/>
  <c r="F581" i="6"/>
  <c r="E610" i="6"/>
  <c r="F610" i="6" s="1"/>
  <c r="E617" i="6"/>
  <c r="F617" i="6" s="1"/>
  <c r="E623" i="6"/>
  <c r="F623" i="6" s="1"/>
  <c r="E636" i="6"/>
  <c r="F636" i="6" s="1"/>
  <c r="F644" i="6"/>
  <c r="F651" i="6"/>
  <c r="E658" i="6"/>
  <c r="F658" i="6" s="1"/>
  <c r="F665" i="6"/>
  <c r="F675" i="6"/>
  <c r="F690" i="6"/>
  <c r="E690" i="6"/>
  <c r="F711" i="6"/>
  <c r="F756" i="6"/>
  <c r="E973" i="6"/>
  <c r="F973" i="6" s="1"/>
  <c r="F1048" i="6"/>
  <c r="I101" i="6"/>
  <c r="J127" i="6"/>
  <c r="G137" i="6"/>
  <c r="J151" i="6"/>
  <c r="E637" i="6"/>
  <c r="F637" i="6" s="1"/>
  <c r="F645" i="6"/>
  <c r="F699" i="6"/>
  <c r="F857" i="6"/>
  <c r="E1024" i="6"/>
  <c r="F1024" i="6" s="1"/>
  <c r="J101" i="6"/>
  <c r="J139" i="6"/>
  <c r="E666" i="6"/>
  <c r="F666" i="6" s="1"/>
  <c r="E969" i="6"/>
  <c r="F969" i="6" s="1"/>
  <c r="J113" i="6"/>
  <c r="F110" i="6"/>
  <c r="G110" i="6" s="1"/>
  <c r="F124" i="6"/>
  <c r="G124" i="6" s="1"/>
  <c r="F136" i="6"/>
  <c r="G136" i="6" s="1"/>
  <c r="F148" i="6"/>
  <c r="G148" i="6" s="1"/>
  <c r="F160" i="6"/>
  <c r="G160" i="6" s="1"/>
  <c r="F172" i="6"/>
  <c r="G172" i="6" s="1"/>
  <c r="F184" i="6"/>
  <c r="G184" i="6" s="1"/>
  <c r="E378" i="6"/>
  <c r="F378" i="6" s="1"/>
  <c r="E485" i="6"/>
  <c r="F485" i="6" s="1"/>
  <c r="E500" i="6"/>
  <c r="F500" i="6" s="1"/>
  <c r="F515" i="6"/>
  <c r="E540" i="6"/>
  <c r="F540" i="6" s="1"/>
  <c r="E555" i="6"/>
  <c r="F555" i="6" s="1"/>
  <c r="F569" i="6"/>
  <c r="E611" i="6"/>
  <c r="F611" i="6" s="1"/>
  <c r="E624" i="6"/>
  <c r="F624" i="6" s="1"/>
  <c r="F631" i="6"/>
  <c r="F638" i="6"/>
  <c r="E646" i="6"/>
  <c r="F646" i="6" s="1"/>
  <c r="E667" i="6"/>
  <c r="F667" i="6" s="1"/>
  <c r="E679" i="6"/>
  <c r="F679" i="6" s="1"/>
  <c r="E722" i="6"/>
  <c r="F722" i="6" s="1"/>
  <c r="E771" i="6"/>
  <c r="F771" i="6" s="1"/>
  <c r="E781" i="6"/>
  <c r="F781" i="6" s="1"/>
  <c r="E793" i="6"/>
  <c r="F793" i="6" s="1"/>
  <c r="E805" i="6"/>
  <c r="F805" i="6" s="1"/>
  <c r="E815" i="6"/>
  <c r="F815" i="6" s="1"/>
  <c r="E826" i="6"/>
  <c r="F826" i="6" s="1"/>
  <c r="E840" i="6"/>
  <c r="F840" i="6" s="1"/>
  <c r="F510" i="6"/>
  <c r="E551" i="6"/>
  <c r="F551" i="6" s="1"/>
  <c r="F564" i="6"/>
  <c r="E613" i="6"/>
  <c r="F613" i="6" s="1"/>
  <c r="E619" i="6"/>
  <c r="F619" i="6" s="1"/>
  <c r="E625" i="6"/>
  <c r="F625" i="6" s="1"/>
  <c r="F632" i="6"/>
  <c r="E653" i="6"/>
  <c r="F653" i="6" s="1"/>
  <c r="F660" i="6"/>
  <c r="E700" i="6"/>
  <c r="F700" i="6" s="1"/>
  <c r="E707" i="6"/>
  <c r="F707" i="6" s="1"/>
  <c r="E654" i="6"/>
  <c r="F654" i="6" s="1"/>
  <c r="F661" i="6"/>
  <c r="F607" i="6"/>
  <c r="F620" i="6"/>
  <c r="F633" i="6"/>
  <c r="E633" i="6"/>
  <c r="F641" i="6"/>
  <c r="F669" i="6"/>
  <c r="F681" i="6"/>
  <c r="F714" i="6"/>
  <c r="F726" i="6"/>
  <c r="E752" i="6"/>
  <c r="F752" i="6" s="1"/>
  <c r="F869" i="6"/>
  <c r="F997" i="6"/>
  <c r="F716" i="6"/>
  <c r="E748" i="6"/>
  <c r="F748" i="6" s="1"/>
  <c r="F846" i="6"/>
  <c r="F852" i="6"/>
  <c r="F858" i="6"/>
  <c r="F864" i="6"/>
  <c r="F870" i="6"/>
  <c r="F877" i="6"/>
  <c r="F883" i="6"/>
  <c r="F890" i="6"/>
  <c r="F897" i="6"/>
  <c r="F905" i="6"/>
  <c r="E933" i="6"/>
  <c r="F933" i="6" s="1"/>
  <c r="E978" i="6"/>
  <c r="F978" i="6" s="1"/>
  <c r="F794" i="6"/>
  <c r="E970" i="6"/>
  <c r="F970" i="6" s="1"/>
  <c r="E1257" i="6"/>
  <c r="F1257" i="6" s="1"/>
  <c r="E1352" i="6"/>
  <c r="F1352" i="6" s="1"/>
  <c r="E670" i="6"/>
  <c r="F670" i="6" s="1"/>
  <c r="E678" i="6"/>
  <c r="F678" i="6" s="1"/>
  <c r="E682" i="6"/>
  <c r="F682" i="6" s="1"/>
  <c r="E697" i="6"/>
  <c r="F697" i="6" s="1"/>
  <c r="F708" i="6"/>
  <c r="E738" i="6"/>
  <c r="F738" i="6" s="1"/>
  <c r="E753" i="6"/>
  <c r="F753" i="6" s="1"/>
  <c r="E766" i="6"/>
  <c r="F766" i="6" s="1"/>
  <c r="E772" i="6"/>
  <c r="F772" i="6" s="1"/>
  <c r="E777" i="6"/>
  <c r="F777" i="6" s="1"/>
  <c r="E783" i="6"/>
  <c r="F783" i="6" s="1"/>
  <c r="E789" i="6"/>
  <c r="F789" i="6" s="1"/>
  <c r="E794" i="6"/>
  <c r="E801" i="6"/>
  <c r="F801" i="6" s="1"/>
  <c r="E806" i="6"/>
  <c r="F806" i="6" s="1"/>
  <c r="E811" i="6"/>
  <c r="F811" i="6" s="1"/>
  <c r="E817" i="6"/>
  <c r="F817" i="6" s="1"/>
  <c r="E822" i="6"/>
  <c r="F822" i="6" s="1"/>
  <c r="E827" i="6"/>
  <c r="F827" i="6" s="1"/>
  <c r="E835" i="6"/>
  <c r="F835" i="6" s="1"/>
  <c r="E841" i="6"/>
  <c r="F841" i="6" s="1"/>
  <c r="E853" i="6"/>
  <c r="F853" i="6" s="1"/>
  <c r="E865" i="6"/>
  <c r="F865" i="6" s="1"/>
  <c r="E962" i="6"/>
  <c r="F962" i="6" s="1"/>
  <c r="E964" i="6"/>
  <c r="F964" i="6" s="1"/>
  <c r="E966" i="6"/>
  <c r="F966" i="6" s="1"/>
  <c r="F704" i="6"/>
  <c r="E1010" i="6"/>
  <c r="F1010" i="6" s="1"/>
  <c r="E1036" i="6"/>
  <c r="F1036" i="6" s="1"/>
  <c r="F1230" i="6"/>
  <c r="F1327" i="6"/>
  <c r="F1428" i="6"/>
  <c r="F842" i="6"/>
  <c r="E967" i="6"/>
  <c r="F967" i="6" s="1"/>
  <c r="F692" i="6"/>
  <c r="E740" i="6"/>
  <c r="F740" i="6" s="1"/>
  <c r="F750" i="6"/>
  <c r="E762" i="6"/>
  <c r="F762" i="6" s="1"/>
  <c r="E767" i="6"/>
  <c r="F767" i="6" s="1"/>
  <c r="E773" i="6"/>
  <c r="F773" i="6" s="1"/>
  <c r="E779" i="6"/>
  <c r="F779" i="6" s="1"/>
  <c r="E784" i="6"/>
  <c r="F784" i="6" s="1"/>
  <c r="E790" i="6"/>
  <c r="F790" i="6" s="1"/>
  <c r="E796" i="6"/>
  <c r="F796" i="6" s="1"/>
  <c r="E802" i="6"/>
  <c r="F802" i="6" s="1"/>
  <c r="E807" i="6"/>
  <c r="F807" i="6" s="1"/>
  <c r="E813" i="6"/>
  <c r="F813" i="6" s="1"/>
  <c r="E818" i="6"/>
  <c r="F818" i="6" s="1"/>
  <c r="E823" i="6"/>
  <c r="F823" i="6" s="1"/>
  <c r="E830" i="6"/>
  <c r="F830" i="6" s="1"/>
  <c r="E836" i="6"/>
  <c r="F836" i="6" s="1"/>
  <c r="E842" i="6"/>
  <c r="E854" i="6"/>
  <c r="F854" i="6" s="1"/>
  <c r="E866" i="6"/>
  <c r="F866" i="6" s="1"/>
  <c r="E879" i="6"/>
  <c r="F879" i="6" s="1"/>
  <c r="E892" i="6"/>
  <c r="F892" i="6" s="1"/>
  <c r="E926" i="6"/>
  <c r="F926" i="6" s="1"/>
  <c r="E942" i="6"/>
  <c r="F942" i="6" s="1"/>
  <c r="E945" i="6"/>
  <c r="F945" i="6" s="1"/>
  <c r="E955" i="6"/>
  <c r="F955" i="6" s="1"/>
  <c r="F975" i="6"/>
  <c r="E1021" i="6"/>
  <c r="F1021" i="6" s="1"/>
  <c r="F688" i="6"/>
  <c r="F746" i="6"/>
  <c r="E935" i="6"/>
  <c r="F935" i="6" s="1"/>
  <c r="E1208" i="6"/>
  <c r="F1208" i="6" s="1"/>
  <c r="E1311" i="6"/>
  <c r="F1311" i="6" s="1"/>
  <c r="E1395" i="6"/>
  <c r="F1395" i="6" s="1"/>
  <c r="F736" i="6"/>
  <c r="E768" i="6"/>
  <c r="F768" i="6" s="1"/>
  <c r="E786" i="6"/>
  <c r="F786" i="6" s="1"/>
  <c r="E803" i="6"/>
  <c r="F803" i="6" s="1"/>
  <c r="E819" i="6"/>
  <c r="F819" i="6" s="1"/>
  <c r="E837" i="6"/>
  <c r="F837" i="6" s="1"/>
  <c r="F844" i="6"/>
  <c r="F850" i="6"/>
  <c r="F856" i="6"/>
  <c r="F862" i="6"/>
  <c r="F868" i="6"/>
  <c r="F875" i="6"/>
  <c r="F881" i="6"/>
  <c r="F888" i="6"/>
  <c r="F894" i="6"/>
  <c r="F902" i="6"/>
  <c r="E986" i="6"/>
  <c r="F986" i="6" s="1"/>
  <c r="E1019" i="6"/>
  <c r="F1019" i="6" s="1"/>
  <c r="E1415" i="6"/>
  <c r="F1415" i="6" s="1"/>
  <c r="F1217" i="6"/>
  <c r="E1238" i="6"/>
  <c r="F1238" i="6" s="1"/>
  <c r="F1276" i="6"/>
  <c r="E1294" i="6"/>
  <c r="F1294" i="6" s="1"/>
  <c r="F1317" i="6"/>
  <c r="E1333" i="6"/>
  <c r="F1333" i="6" s="1"/>
  <c r="F1358" i="6"/>
  <c r="E1377" i="6"/>
  <c r="F1377" i="6" s="1"/>
  <c r="F1402" i="6"/>
  <c r="F1467" i="6"/>
  <c r="E1460" i="6"/>
  <c r="F1460" i="6" s="1"/>
  <c r="E761" i="6"/>
  <c r="F761" i="6" s="1"/>
  <c r="E765" i="6"/>
  <c r="F765" i="6" s="1"/>
  <c r="E769" i="6"/>
  <c r="F769" i="6" s="1"/>
  <c r="E774" i="6"/>
  <c r="F774" i="6" s="1"/>
  <c r="E778" i="6"/>
  <c r="F778" i="6" s="1"/>
  <c r="E782" i="6"/>
  <c r="F782" i="6" s="1"/>
  <c r="E787" i="6"/>
  <c r="F787" i="6" s="1"/>
  <c r="E791" i="6"/>
  <c r="F791" i="6" s="1"/>
  <c r="E795" i="6"/>
  <c r="F795" i="6" s="1"/>
  <c r="E800" i="6"/>
  <c r="F800" i="6" s="1"/>
  <c r="E804" i="6"/>
  <c r="F804" i="6" s="1"/>
  <c r="E808" i="6"/>
  <c r="F808" i="6" s="1"/>
  <c r="E812" i="6"/>
  <c r="F812" i="6" s="1"/>
  <c r="E816" i="6"/>
  <c r="F816" i="6" s="1"/>
  <c r="E820" i="6"/>
  <c r="F820" i="6" s="1"/>
  <c r="E824" i="6"/>
  <c r="F824" i="6" s="1"/>
  <c r="E829" i="6"/>
  <c r="F829" i="6" s="1"/>
  <c r="E833" i="6"/>
  <c r="F833" i="6" s="1"/>
  <c r="E838" i="6"/>
  <c r="F838" i="6" s="1"/>
  <c r="E843" i="6"/>
  <c r="F843" i="6" s="1"/>
  <c r="E847" i="6"/>
  <c r="F847" i="6" s="1"/>
  <c r="E851" i="6"/>
  <c r="F851" i="6" s="1"/>
  <c r="E855" i="6"/>
  <c r="F855" i="6" s="1"/>
  <c r="E859" i="6"/>
  <c r="F859" i="6" s="1"/>
  <c r="E863" i="6"/>
  <c r="F863" i="6" s="1"/>
  <c r="E867" i="6"/>
  <c r="F867" i="6" s="1"/>
  <c r="E871" i="6"/>
  <c r="F871" i="6" s="1"/>
  <c r="E876" i="6"/>
  <c r="F876" i="6" s="1"/>
  <c r="E880" i="6"/>
  <c r="F880" i="6" s="1"/>
  <c r="E884" i="6"/>
  <c r="F884" i="6" s="1"/>
  <c r="E889" i="6"/>
  <c r="F889" i="6" s="1"/>
  <c r="E893" i="6"/>
  <c r="F893" i="6" s="1"/>
  <c r="E898" i="6"/>
  <c r="F898" i="6" s="1"/>
  <c r="E904" i="6"/>
  <c r="F904" i="6" s="1"/>
  <c r="E930" i="6"/>
  <c r="F930" i="6" s="1"/>
  <c r="E952" i="6"/>
  <c r="F952" i="6" s="1"/>
  <c r="E976" i="6"/>
  <c r="F976" i="6" s="1"/>
  <c r="E1016" i="6"/>
  <c r="F1016" i="6" s="1"/>
  <c r="E1022" i="6"/>
  <c r="F1022" i="6" s="1"/>
  <c r="E1029" i="6"/>
  <c r="F1029" i="6" s="1"/>
  <c r="E1245" i="6"/>
  <c r="F1245" i="6" s="1"/>
  <c r="E1300" i="6"/>
  <c r="F1300" i="6" s="1"/>
  <c r="E1341" i="6"/>
  <c r="F1341" i="6" s="1"/>
  <c r="E1384" i="6"/>
  <c r="F1384" i="6" s="1"/>
  <c r="E1562" i="6"/>
  <c r="F1562" i="6" s="1"/>
  <c r="F1174" i="6"/>
  <c r="F1204" i="6"/>
  <c r="E1226" i="6"/>
  <c r="F1226" i="6" s="1"/>
  <c r="F1252" i="6"/>
  <c r="E1284" i="6"/>
  <c r="F1284" i="6" s="1"/>
  <c r="F1307" i="6"/>
  <c r="E1324" i="6"/>
  <c r="F1324" i="6" s="1"/>
  <c r="F1347" i="6"/>
  <c r="E1367" i="6"/>
  <c r="F1367" i="6" s="1"/>
  <c r="F1392" i="6"/>
  <c r="F1432" i="6"/>
  <c r="F1234" i="6"/>
  <c r="F1290" i="6"/>
  <c r="F1330" i="6"/>
  <c r="F1373" i="6"/>
  <c r="E1420" i="6"/>
  <c r="F1420" i="6" s="1"/>
  <c r="E934" i="6"/>
  <c r="F934" i="6" s="1"/>
  <c r="E946" i="6"/>
  <c r="F946" i="6" s="1"/>
  <c r="E954" i="6"/>
  <c r="F954" i="6" s="1"/>
  <c r="E974" i="6"/>
  <c r="F974" i="6" s="1"/>
  <c r="F1043" i="6"/>
  <c r="F1214" i="6"/>
  <c r="F1261" i="6"/>
  <c r="F1314" i="6"/>
  <c r="F1355" i="6"/>
  <c r="F1399" i="6"/>
  <c r="E1038" i="6"/>
  <c r="F1038" i="6" s="1"/>
  <c r="E988" i="6"/>
  <c r="F988" i="6" s="1"/>
  <c r="E996" i="6"/>
  <c r="F996" i="6" s="1"/>
  <c r="E1002" i="6"/>
  <c r="F1002" i="6" s="1"/>
  <c r="E1006" i="6"/>
  <c r="F1006" i="6" s="1"/>
  <c r="E1018" i="6"/>
  <c r="F1018" i="6" s="1"/>
  <c r="E1035" i="6"/>
  <c r="F1035" i="6" s="1"/>
  <c r="E1242" i="6"/>
  <c r="F1242" i="6" s="1"/>
  <c r="E1297" i="6"/>
  <c r="F1297" i="6" s="1"/>
  <c r="E1337" i="6"/>
  <c r="F1337" i="6" s="1"/>
  <c r="E1381" i="6"/>
  <c r="F1381" i="6" s="1"/>
  <c r="E1464" i="6"/>
  <c r="F1464" i="6" s="1"/>
  <c r="E1039" i="6"/>
  <c r="F1039" i="6" s="1"/>
  <c r="F1051" i="6"/>
  <c r="E1221" i="6"/>
  <c r="F1221" i="6" s="1"/>
  <c r="F1248" i="6"/>
  <c r="E1280" i="6"/>
  <c r="F1280" i="6" s="1"/>
  <c r="F1303" i="6"/>
  <c r="E1320" i="6"/>
  <c r="F1320" i="6" s="1"/>
  <c r="F1344" i="6"/>
  <c r="E1362" i="6"/>
  <c r="F1362" i="6" s="1"/>
  <c r="F1388" i="6"/>
  <c r="F1406" i="6"/>
  <c r="E1442" i="6"/>
  <c r="F1442" i="6" s="1"/>
  <c r="E1450" i="6"/>
  <c r="F1450" i="6" s="1"/>
  <c r="F1539" i="6"/>
  <c r="G1539" i="6" s="1"/>
  <c r="E1552" i="6"/>
  <c r="F1552" i="6" s="1"/>
  <c r="E1429" i="6"/>
  <c r="F1429" i="6" s="1"/>
  <c r="E1437" i="6"/>
  <c r="F1437" i="6" s="1"/>
  <c r="E1206" i="6"/>
  <c r="F1206" i="6" s="1"/>
  <c r="E1209" i="6"/>
  <c r="F1209" i="6" s="1"/>
  <c r="E1215" i="6"/>
  <c r="F1215" i="6" s="1"/>
  <c r="E1219" i="6"/>
  <c r="F1219" i="6" s="1"/>
  <c r="E1222" i="6"/>
  <c r="F1222" i="6" s="1"/>
  <c r="E1227" i="6"/>
  <c r="F1227" i="6" s="1"/>
  <c r="E1231" i="6"/>
  <c r="F1231" i="6" s="1"/>
  <c r="E1235" i="6"/>
  <c r="F1235" i="6" s="1"/>
  <c r="E1239" i="6"/>
  <c r="F1239" i="6" s="1"/>
  <c r="E1243" i="6"/>
  <c r="F1243" i="6" s="1"/>
  <c r="E1246" i="6"/>
  <c r="F1246" i="6" s="1"/>
  <c r="E1249" i="6"/>
  <c r="F1249" i="6" s="1"/>
  <c r="E1254" i="6"/>
  <c r="F1254" i="6" s="1"/>
  <c r="E1258" i="6"/>
  <c r="F1258" i="6" s="1"/>
  <c r="E1262" i="6"/>
  <c r="F1262" i="6" s="1"/>
  <c r="E1277" i="6"/>
  <c r="F1277" i="6" s="1"/>
  <c r="E1281" i="6"/>
  <c r="F1281" i="6" s="1"/>
  <c r="E1285" i="6"/>
  <c r="F1285" i="6" s="1"/>
  <c r="E1288" i="6"/>
  <c r="F1288" i="6" s="1"/>
  <c r="E1291" i="6"/>
  <c r="F1291" i="6" s="1"/>
  <c r="E1295" i="6"/>
  <c r="F1295" i="6" s="1"/>
  <c r="E1298" i="6"/>
  <c r="F1298" i="6" s="1"/>
  <c r="E1301" i="6"/>
  <c r="F1301" i="6" s="1"/>
  <c r="E1304" i="6"/>
  <c r="F1304" i="6" s="1"/>
  <c r="E1308" i="6"/>
  <c r="F1308" i="6" s="1"/>
  <c r="E1312" i="6"/>
  <c r="F1312" i="6" s="1"/>
  <c r="E1315" i="6"/>
  <c r="F1315" i="6" s="1"/>
  <c r="E1318" i="6"/>
  <c r="F1318" i="6" s="1"/>
  <c r="E1321" i="6"/>
  <c r="F1321" i="6" s="1"/>
  <c r="E1325" i="6"/>
  <c r="F1325" i="6" s="1"/>
  <c r="E1328" i="6"/>
  <c r="F1328" i="6" s="1"/>
  <c r="E1331" i="6"/>
  <c r="F1331" i="6" s="1"/>
  <c r="E1334" i="6"/>
  <c r="F1334" i="6" s="1"/>
  <c r="E1339" i="6"/>
  <c r="F1339" i="6" s="1"/>
  <c r="E1342" i="6"/>
  <c r="F1342" i="6" s="1"/>
  <c r="E1345" i="6"/>
  <c r="F1345" i="6" s="1"/>
  <c r="E1350" i="6"/>
  <c r="F1350" i="6" s="1"/>
  <c r="E1353" i="6"/>
  <c r="F1353" i="6" s="1"/>
  <c r="E1356" i="6"/>
  <c r="F1356" i="6" s="1"/>
  <c r="E1359" i="6"/>
  <c r="F1359" i="6" s="1"/>
  <c r="E1363" i="6"/>
  <c r="F1363" i="6" s="1"/>
  <c r="E1368" i="6"/>
  <c r="F1368" i="6" s="1"/>
  <c r="E1371" i="6"/>
  <c r="F1371" i="6" s="1"/>
  <c r="E1374" i="6"/>
  <c r="F1374" i="6" s="1"/>
  <c r="E1378" i="6"/>
  <c r="F1378" i="6" s="1"/>
  <c r="E1382" i="6"/>
  <c r="F1382" i="6" s="1"/>
  <c r="E1385" i="6"/>
  <c r="F1385" i="6" s="1"/>
  <c r="E1389" i="6"/>
  <c r="F1389" i="6" s="1"/>
  <c r="E1393" i="6"/>
  <c r="F1393" i="6" s="1"/>
  <c r="E1396" i="6"/>
  <c r="F1396" i="6" s="1"/>
  <c r="E1400" i="6"/>
  <c r="F1400" i="6" s="1"/>
  <c r="E1403" i="6"/>
  <c r="F1403" i="6" s="1"/>
  <c r="E1417" i="6"/>
  <c r="F1417" i="6" s="1"/>
  <c r="E1433" i="6"/>
  <c r="F1433" i="6" s="1"/>
  <c r="E1564" i="6"/>
  <c r="F1564" i="6" s="1"/>
  <c r="E1418" i="6"/>
  <c r="F1418" i="6" s="1"/>
  <c r="E1434" i="6"/>
  <c r="F1434" i="6" s="1"/>
  <c r="E1438" i="6"/>
  <c r="F1438" i="6" s="1"/>
  <c r="E1452" i="6"/>
  <c r="F1452" i="6" s="1"/>
  <c r="E1474" i="6"/>
  <c r="F1474" i="6" s="1"/>
  <c r="E1555" i="6"/>
  <c r="F1555" i="6" s="1"/>
  <c r="E1203" i="6"/>
  <c r="F1203" i="6" s="1"/>
  <c r="E1207" i="6"/>
  <c r="F1207" i="6" s="1"/>
  <c r="E1213" i="6"/>
  <c r="F1213" i="6" s="1"/>
  <c r="E1216" i="6"/>
  <c r="F1216" i="6" s="1"/>
  <c r="E1220" i="6"/>
  <c r="F1220" i="6" s="1"/>
  <c r="E1225" i="6"/>
  <c r="F1225" i="6" s="1"/>
  <c r="E1229" i="6"/>
  <c r="F1229" i="6" s="1"/>
  <c r="E1233" i="6"/>
  <c r="F1233" i="6" s="1"/>
  <c r="E1237" i="6"/>
  <c r="F1237" i="6" s="1"/>
  <c r="E1241" i="6"/>
  <c r="F1241" i="6" s="1"/>
  <c r="E1244" i="6"/>
  <c r="F1244" i="6" s="1"/>
  <c r="E1247" i="6"/>
  <c r="F1247" i="6" s="1"/>
  <c r="E1251" i="6"/>
  <c r="F1251" i="6" s="1"/>
  <c r="E1255" i="6"/>
  <c r="F1255" i="6" s="1"/>
  <c r="E1259" i="6"/>
  <c r="F1259" i="6" s="1"/>
  <c r="E1263" i="6"/>
  <c r="F1263" i="6" s="1"/>
  <c r="E1278" i="6"/>
  <c r="F1278" i="6" s="1"/>
  <c r="E1283" i="6"/>
  <c r="F1283" i="6" s="1"/>
  <c r="E1286" i="6"/>
  <c r="F1286" i="6" s="1"/>
  <c r="E1289" i="6"/>
  <c r="F1289" i="6" s="1"/>
  <c r="E1292" i="6"/>
  <c r="F1292" i="6" s="1"/>
  <c r="E1296" i="6"/>
  <c r="F1296" i="6" s="1"/>
  <c r="E1299" i="6"/>
  <c r="F1299" i="6" s="1"/>
  <c r="E1302" i="6"/>
  <c r="F1302" i="6" s="1"/>
  <c r="E1305" i="6"/>
  <c r="F1305" i="6" s="1"/>
  <c r="E1310" i="6"/>
  <c r="F1310" i="6" s="1"/>
  <c r="E1313" i="6"/>
  <c r="F1313" i="6" s="1"/>
  <c r="E1316" i="6"/>
  <c r="F1316" i="6" s="1"/>
  <c r="E1319" i="6"/>
  <c r="F1319" i="6" s="1"/>
  <c r="E1323" i="6"/>
  <c r="F1323" i="6" s="1"/>
  <c r="E1326" i="6"/>
  <c r="F1326" i="6" s="1"/>
  <c r="E1329" i="6"/>
  <c r="F1329" i="6" s="1"/>
  <c r="E1332" i="6"/>
  <c r="F1332" i="6" s="1"/>
  <c r="E1336" i="6"/>
  <c r="F1336" i="6" s="1"/>
  <c r="E1340" i="6"/>
  <c r="F1340" i="6" s="1"/>
  <c r="E1343" i="6"/>
  <c r="F1343" i="6" s="1"/>
  <c r="E1346" i="6"/>
  <c r="F1346" i="6" s="1"/>
  <c r="E1351" i="6"/>
  <c r="F1351" i="6" s="1"/>
  <c r="E1354" i="6"/>
  <c r="F1354" i="6" s="1"/>
  <c r="E1357" i="6"/>
  <c r="F1357" i="6" s="1"/>
  <c r="E1360" i="6"/>
  <c r="F1360" i="6" s="1"/>
  <c r="E1364" i="6"/>
  <c r="F1364" i="6" s="1"/>
  <c r="E1369" i="6"/>
  <c r="F1369" i="6" s="1"/>
  <c r="E1372" i="6"/>
  <c r="F1372" i="6" s="1"/>
  <c r="E1376" i="6"/>
  <c r="F1376" i="6" s="1"/>
  <c r="E1380" i="6"/>
  <c r="F1380" i="6" s="1"/>
  <c r="E1383" i="6"/>
  <c r="F1383" i="6" s="1"/>
  <c r="E1387" i="6"/>
  <c r="F1387" i="6" s="1"/>
  <c r="E1390" i="6"/>
  <c r="F1390" i="6" s="1"/>
  <c r="E1394" i="6"/>
  <c r="F1394" i="6" s="1"/>
  <c r="E1398" i="6"/>
  <c r="F1398" i="6" s="1"/>
  <c r="E1401" i="6"/>
  <c r="F1401" i="6" s="1"/>
  <c r="E1447" i="6"/>
  <c r="F1447" i="6" s="1"/>
  <c r="E1414" i="6"/>
  <c r="F1414" i="6" s="1"/>
  <c r="E1426" i="6"/>
  <c r="F1426" i="6" s="1"/>
  <c r="E1431" i="6"/>
  <c r="F1431" i="6" s="1"/>
  <c r="E1459" i="6"/>
  <c r="F1459" i="6" s="1"/>
  <c r="E1463" i="6"/>
  <c r="F1463" i="6" s="1"/>
  <c r="E1466" i="6"/>
  <c r="F1466" i="6" s="1"/>
  <c r="E1561" i="6"/>
  <c r="F1561" i="6" s="1"/>
  <c r="E227" i="5" l="1"/>
  <c r="E225" i="5"/>
  <c r="E220" i="5"/>
  <c r="E219" i="5"/>
  <c r="E218" i="5"/>
  <c r="E217" i="5"/>
  <c r="E216" i="5"/>
  <c r="E215" i="5"/>
  <c r="E214" i="5"/>
  <c r="E213" i="5"/>
  <c r="E212" i="5"/>
  <c r="E211" i="5"/>
  <c r="E209" i="5"/>
  <c r="E208" i="5"/>
  <c r="E207" i="5"/>
  <c r="E206" i="5"/>
  <c r="E205" i="5"/>
  <c r="E204" i="5"/>
  <c r="E203" i="5"/>
  <c r="E202" i="5"/>
  <c r="E201" i="5"/>
  <c r="E200" i="5"/>
  <c r="E199" i="5"/>
  <c r="E198" i="5"/>
  <c r="E197" i="5"/>
  <c r="E196" i="5"/>
  <c r="E195" i="5"/>
  <c r="E194" i="5"/>
  <c r="E193" i="5"/>
  <c r="E192" i="5"/>
  <c r="E191" i="5"/>
  <c r="E190" i="5"/>
  <c r="E189" i="5"/>
  <c r="E188" i="5"/>
  <c r="E187" i="5"/>
  <c r="E186" i="5"/>
  <c r="E185" i="5"/>
  <c r="E184" i="5"/>
  <c r="E183" i="5"/>
  <c r="E182" i="5"/>
  <c r="E181" i="5"/>
  <c r="E180" i="5"/>
  <c r="E179" i="5"/>
  <c r="E178" i="5"/>
  <c r="E177" i="5"/>
  <c r="E176" i="5"/>
  <c r="E175" i="5"/>
  <c r="E174" i="5"/>
  <c r="E173" i="5"/>
  <c r="E172" i="5"/>
  <c r="E171" i="5"/>
  <c r="E170" i="5"/>
  <c r="E169" i="5"/>
  <c r="E168" i="5"/>
  <c r="E167" i="5"/>
  <c r="E166" i="5"/>
  <c r="E165" i="5"/>
  <c r="E164" i="5"/>
  <c r="E163" i="5"/>
  <c r="E162" i="5"/>
  <c r="E161" i="5"/>
  <c r="E160" i="5"/>
  <c r="E159" i="5"/>
  <c r="E158" i="5"/>
  <c r="E157" i="5"/>
  <c r="E156" i="5"/>
  <c r="E155" i="5"/>
  <c r="E154" i="5"/>
  <c r="E153" i="5"/>
  <c r="E152" i="5"/>
  <c r="E151" i="5"/>
  <c r="E150" i="5"/>
  <c r="E149" i="5"/>
  <c r="E148" i="5"/>
  <c r="E147" i="5"/>
  <c r="E146" i="5"/>
  <c r="E145" i="5"/>
  <c r="E144" i="5"/>
  <c r="E143" i="5"/>
  <c r="E142" i="5"/>
  <c r="E141" i="5"/>
  <c r="E140" i="5"/>
  <c r="E139" i="5"/>
  <c r="E138" i="5"/>
  <c r="E137" i="5"/>
  <c r="E136" i="5"/>
  <c r="E135" i="5"/>
  <c r="E134" i="5"/>
  <c r="E133" i="5"/>
  <c r="E132" i="5"/>
  <c r="E131" i="5"/>
  <c r="E130" i="5"/>
  <c r="E129" i="5"/>
  <c r="E128" i="5"/>
  <c r="E127" i="5"/>
  <c r="E126" i="5"/>
  <c r="E125" i="5"/>
  <c r="E124" i="5"/>
  <c r="E123" i="5"/>
  <c r="E122" i="5"/>
  <c r="E121" i="5"/>
  <c r="E120" i="5"/>
  <c r="E119" i="5"/>
  <c r="E118" i="5"/>
  <c r="E117" i="5"/>
  <c r="E116" i="5"/>
  <c r="E115" i="5"/>
  <c r="E114" i="5"/>
  <c r="E113" i="5"/>
  <c r="E112" i="5"/>
  <c r="E111" i="5"/>
  <c r="E110" i="5"/>
  <c r="E109" i="5"/>
  <c r="E108" i="5"/>
  <c r="E107" i="5"/>
  <c r="E106" i="5"/>
  <c r="E105" i="5"/>
  <c r="E104" i="5"/>
  <c r="E103" i="5"/>
  <c r="E102" i="5"/>
  <c r="E101" i="5"/>
  <c r="E100" i="5"/>
  <c r="E99" i="5"/>
  <c r="D868" i="5" l="1"/>
  <c r="D913" i="5" l="1"/>
  <c r="D389" i="5" l="1"/>
  <c r="D388" i="5"/>
  <c r="D914" i="5" l="1"/>
  <c r="D912" i="5"/>
  <c r="D911" i="5"/>
  <c r="D909" i="5"/>
  <c r="D908" i="5"/>
  <c r="D907" i="5"/>
  <c r="F907" i="5" l="1"/>
  <c r="D758" i="5" l="1"/>
  <c r="D1373" i="5" l="1"/>
  <c r="D1372" i="5"/>
  <c r="E1372" i="5" s="1"/>
  <c r="F1372" i="5" s="1"/>
  <c r="D1362" i="5"/>
  <c r="E1361" i="5"/>
  <c r="F1361" i="5" s="1"/>
  <c r="D1360" i="5"/>
  <c r="E1360" i="5" s="1"/>
  <c r="F1360" i="5" s="1"/>
  <c r="D1359" i="5"/>
  <c r="E1358" i="5"/>
  <c r="E1357" i="5"/>
  <c r="D1356" i="5"/>
  <c r="E1356" i="5" s="1"/>
  <c r="F1356" i="5" s="1"/>
  <c r="D1355" i="5"/>
  <c r="E1355" i="5" s="1"/>
  <c r="IV1292" i="5"/>
  <c r="D1292" i="5"/>
  <c r="IV1291" i="5"/>
  <c r="D1291" i="5"/>
  <c r="F1289" i="5"/>
  <c r="F1288" i="5"/>
  <c r="IV1287" i="5"/>
  <c r="D1287" i="5"/>
  <c r="F1287" i="5" s="1"/>
  <c r="F1286" i="5"/>
  <c r="F1285" i="5"/>
  <c r="F1284" i="5"/>
  <c r="IV1283" i="5"/>
  <c r="D1283" i="5"/>
  <c r="IV1282" i="5"/>
  <c r="D1282" i="5"/>
  <c r="E1282" i="5" s="1"/>
  <c r="IV1281" i="5"/>
  <c r="D1281" i="5"/>
  <c r="IV1280" i="5"/>
  <c r="D1280" i="5"/>
  <c r="IV1278" i="5"/>
  <c r="D1278" i="5"/>
  <c r="E1278" i="5" s="1"/>
  <c r="IV1277" i="5"/>
  <c r="D1277" i="5"/>
  <c r="F1276" i="5"/>
  <c r="F1274" i="5"/>
  <c r="F1272" i="5"/>
  <c r="F1271" i="5"/>
  <c r="F1270" i="5"/>
  <c r="F1269" i="5"/>
  <c r="F1268" i="5"/>
  <c r="F1267" i="5"/>
  <c r="F1265" i="5"/>
  <c r="F1263" i="5"/>
  <c r="F1262" i="5"/>
  <c r="F1258" i="5"/>
  <c r="IV1256" i="5"/>
  <c r="D1256" i="5"/>
  <c r="IV1255" i="5"/>
  <c r="D1255" i="5"/>
  <c r="E1255" i="5" s="1"/>
  <c r="IV1254" i="5"/>
  <c r="F1254" i="5"/>
  <c r="IV1252" i="5"/>
  <c r="D1252" i="5"/>
  <c r="E1252" i="5" s="1"/>
  <c r="F1252" i="5" s="1"/>
  <c r="F1251" i="5"/>
  <c r="IV1250" i="5"/>
  <c r="F1250" i="5"/>
  <c r="F1249" i="5"/>
  <c r="F1248" i="5"/>
  <c r="D1247" i="5"/>
  <c r="D1246" i="5"/>
  <c r="E1246" i="5" s="1"/>
  <c r="F1246" i="5" s="1"/>
  <c r="F1244" i="5"/>
  <c r="D1243" i="5"/>
  <c r="E1243" i="5" s="1"/>
  <c r="F1243" i="5" s="1"/>
  <c r="F1239" i="5"/>
  <c r="F1238" i="5"/>
  <c r="F1237" i="5"/>
  <c r="D1236" i="5"/>
  <c r="F1236" i="5" s="1"/>
  <c r="F1235" i="5"/>
  <c r="F1233" i="5"/>
  <c r="IV1232" i="5"/>
  <c r="D1232" i="5"/>
  <c r="F1232" i="5" s="1"/>
  <c r="F1231" i="5"/>
  <c r="IV1230" i="5"/>
  <c r="D1230" i="5"/>
  <c r="IV1228" i="5"/>
  <c r="F1228" i="5"/>
  <c r="IV1227" i="5"/>
  <c r="F1227" i="5"/>
  <c r="F1226" i="5"/>
  <c r="F1224" i="5"/>
  <c r="IV1222" i="5"/>
  <c r="D1222" i="5"/>
  <c r="IV1221" i="5"/>
  <c r="D1221" i="5"/>
  <c r="IV1220" i="5"/>
  <c r="D1220" i="5"/>
  <c r="IV1219" i="5"/>
  <c r="D1219" i="5"/>
  <c r="IV1218" i="5"/>
  <c r="D1218" i="5"/>
  <c r="IV1217" i="5"/>
  <c r="D1217" i="5"/>
  <c r="IV1216" i="5"/>
  <c r="D1216" i="5"/>
  <c r="IV1214" i="5"/>
  <c r="D1214" i="5"/>
  <c r="IV1213" i="5"/>
  <c r="D1213" i="5"/>
  <c r="IV1212" i="5"/>
  <c r="D1212" i="5"/>
  <c r="IV1211" i="5"/>
  <c r="D1211" i="5"/>
  <c r="IV1210" i="5"/>
  <c r="D1210" i="5"/>
  <c r="IV1208" i="5"/>
  <c r="D1208" i="5"/>
  <c r="IV1207" i="5"/>
  <c r="D1207" i="5"/>
  <c r="IV1206" i="5"/>
  <c r="D1206" i="5"/>
  <c r="IV1205" i="5"/>
  <c r="D1205" i="5"/>
  <c r="IV1203" i="5"/>
  <c r="D1203" i="5"/>
  <c r="IV1202" i="5"/>
  <c r="D1202" i="5"/>
  <c r="IV1201" i="5"/>
  <c r="D1201" i="5"/>
  <c r="IV1200" i="5"/>
  <c r="D1200" i="5"/>
  <c r="IV1199" i="5"/>
  <c r="D1199" i="5"/>
  <c r="IV1198" i="5"/>
  <c r="D1198" i="5"/>
  <c r="IV1196" i="5"/>
  <c r="D1196" i="5"/>
  <c r="IV1195" i="5"/>
  <c r="D1195" i="5"/>
  <c r="IV1194" i="5"/>
  <c r="D1194" i="5"/>
  <c r="IV1192" i="5"/>
  <c r="D1192" i="5"/>
  <c r="IV1191" i="5"/>
  <c r="D1191" i="5"/>
  <c r="IV1190" i="5"/>
  <c r="D1190" i="5"/>
  <c r="IV1189" i="5"/>
  <c r="D1189" i="5"/>
  <c r="IV1188" i="5"/>
  <c r="D1188" i="5"/>
  <c r="IV1187" i="5"/>
  <c r="D1187" i="5"/>
  <c r="IV1186" i="5"/>
  <c r="D1186" i="5"/>
  <c r="IV1185" i="5"/>
  <c r="D1185" i="5"/>
  <c r="IV1182" i="5"/>
  <c r="D1182" i="5"/>
  <c r="IV1181" i="5"/>
  <c r="D1181" i="5"/>
  <c r="IV1180" i="5"/>
  <c r="D1180" i="5"/>
  <c r="IV1178" i="5"/>
  <c r="D1178" i="5"/>
  <c r="IV1177" i="5"/>
  <c r="D1177" i="5"/>
  <c r="IV1176" i="5"/>
  <c r="D1176" i="5"/>
  <c r="IV1175" i="5"/>
  <c r="D1175" i="5"/>
  <c r="IV1174" i="5"/>
  <c r="D1174" i="5"/>
  <c r="IV1173" i="5"/>
  <c r="D1173" i="5"/>
  <c r="IV1172" i="5"/>
  <c r="D1172" i="5"/>
  <c r="IV1171" i="5"/>
  <c r="D1171" i="5"/>
  <c r="IV1170" i="5"/>
  <c r="D1170" i="5"/>
  <c r="IV1169" i="5"/>
  <c r="D1169" i="5"/>
  <c r="IV1168" i="5"/>
  <c r="D1168" i="5"/>
  <c r="IV1165" i="5"/>
  <c r="D1165" i="5"/>
  <c r="IV1164" i="5"/>
  <c r="D1164" i="5"/>
  <c r="IV1163" i="5"/>
  <c r="D1163" i="5"/>
  <c r="IV1162" i="5"/>
  <c r="D1162" i="5"/>
  <c r="IV1161" i="5"/>
  <c r="D1161" i="5"/>
  <c r="IV1160" i="5"/>
  <c r="D1160" i="5"/>
  <c r="IV1159" i="5"/>
  <c r="D1159" i="5"/>
  <c r="IV1158" i="5"/>
  <c r="D1158" i="5"/>
  <c r="IV1157" i="5"/>
  <c r="D1157" i="5"/>
  <c r="IV1155" i="5"/>
  <c r="D1155" i="5"/>
  <c r="IV1154" i="5"/>
  <c r="D1154" i="5"/>
  <c r="IV1152" i="5"/>
  <c r="D1152" i="5"/>
  <c r="IV1151" i="5"/>
  <c r="D1151" i="5"/>
  <c r="IV1150" i="5"/>
  <c r="D1150" i="5"/>
  <c r="IV1149" i="5"/>
  <c r="D1149" i="5"/>
  <c r="IV1148" i="5"/>
  <c r="D1148" i="5"/>
  <c r="IV1147" i="5"/>
  <c r="D1147" i="5"/>
  <c r="IV1146" i="5"/>
  <c r="D1146" i="5"/>
  <c r="IV1145" i="5"/>
  <c r="D1145" i="5"/>
  <c r="IV1144" i="5"/>
  <c r="D1144" i="5"/>
  <c r="IV1143" i="5"/>
  <c r="D1143" i="5"/>
  <c r="IV1142" i="5"/>
  <c r="D1142" i="5"/>
  <c r="IV1141" i="5"/>
  <c r="D1141" i="5"/>
  <c r="IV1139" i="5"/>
  <c r="D1139" i="5"/>
  <c r="IV1138" i="5"/>
  <c r="D1138" i="5"/>
  <c r="IV1137" i="5"/>
  <c r="D1137" i="5"/>
  <c r="IV1136" i="5"/>
  <c r="D1136" i="5"/>
  <c r="IV1135" i="5"/>
  <c r="D1135" i="5"/>
  <c r="IV1134" i="5"/>
  <c r="D1134" i="5"/>
  <c r="IV1133" i="5"/>
  <c r="D1133" i="5"/>
  <c r="IV1132" i="5"/>
  <c r="D1132" i="5"/>
  <c r="IV1131" i="5"/>
  <c r="D1131" i="5"/>
  <c r="IV1130" i="5"/>
  <c r="D1130" i="5"/>
  <c r="IV1129" i="5"/>
  <c r="D1129" i="5"/>
  <c r="IV1128" i="5"/>
  <c r="D1128" i="5"/>
  <c r="IV1126" i="5"/>
  <c r="D1126" i="5"/>
  <c r="IV1125" i="5"/>
  <c r="D1125" i="5"/>
  <c r="IV1123" i="5"/>
  <c r="D1123" i="5"/>
  <c r="IV1122" i="5"/>
  <c r="D1122" i="5"/>
  <c r="IV1121" i="5"/>
  <c r="D1121" i="5"/>
  <c r="IV1120" i="5"/>
  <c r="D1120" i="5"/>
  <c r="IV1119" i="5"/>
  <c r="D1119" i="5"/>
  <c r="IV1118" i="5"/>
  <c r="D1118" i="5"/>
  <c r="IV1117" i="5"/>
  <c r="D1117" i="5"/>
  <c r="IV1116" i="5"/>
  <c r="D1116" i="5"/>
  <c r="IV1115" i="5"/>
  <c r="D1115" i="5"/>
  <c r="IV1114" i="5"/>
  <c r="D1114" i="5"/>
  <c r="IV1113" i="5"/>
  <c r="D1113" i="5"/>
  <c r="IV1112" i="5"/>
  <c r="D1112" i="5"/>
  <c r="IV1110" i="5"/>
  <c r="D1110" i="5"/>
  <c r="IV1109" i="5"/>
  <c r="D1109" i="5"/>
  <c r="IV1108" i="5"/>
  <c r="D1108" i="5"/>
  <c r="IV1107" i="5"/>
  <c r="D1107" i="5"/>
  <c r="IV1106" i="5"/>
  <c r="D1106" i="5"/>
  <c r="IV1105" i="5"/>
  <c r="D1105" i="5"/>
  <c r="IV1104" i="5"/>
  <c r="D1104" i="5"/>
  <c r="IV1103" i="5"/>
  <c r="D1103" i="5"/>
  <c r="IV1102" i="5"/>
  <c r="D1102" i="5"/>
  <c r="IV1101" i="5"/>
  <c r="D1101" i="5"/>
  <c r="IV1099" i="5"/>
  <c r="D1099" i="5"/>
  <c r="IV1098" i="5"/>
  <c r="D1098" i="5"/>
  <c r="IV1096" i="5"/>
  <c r="D1096" i="5"/>
  <c r="IV1095" i="5"/>
  <c r="D1095" i="5"/>
  <c r="IV1094" i="5"/>
  <c r="D1094" i="5"/>
  <c r="IV1081" i="5"/>
  <c r="D1081" i="5"/>
  <c r="IV1080" i="5"/>
  <c r="D1080" i="5"/>
  <c r="IV1079" i="5"/>
  <c r="D1079" i="5"/>
  <c r="IV1077" i="5"/>
  <c r="D1077" i="5"/>
  <c r="IV1076" i="5"/>
  <c r="D1076" i="5"/>
  <c r="IV1075" i="5"/>
  <c r="D1075" i="5"/>
  <c r="IV1073" i="5"/>
  <c r="D1073" i="5"/>
  <c r="IV1072" i="5"/>
  <c r="D1072" i="5"/>
  <c r="IV1070" i="5"/>
  <c r="D1070" i="5"/>
  <c r="IV1069" i="5"/>
  <c r="D1069" i="5"/>
  <c r="IV1067" i="5"/>
  <c r="D1067" i="5"/>
  <c r="IV1066" i="5"/>
  <c r="D1066" i="5"/>
  <c r="IV1065" i="5"/>
  <c r="D1065" i="5"/>
  <c r="IV1064" i="5"/>
  <c r="D1064" i="5"/>
  <c r="IV1063" i="5"/>
  <c r="D1063" i="5"/>
  <c r="IV1062" i="5"/>
  <c r="D1062" i="5"/>
  <c r="IV1061" i="5"/>
  <c r="D1061" i="5"/>
  <c r="IV1060" i="5"/>
  <c r="D1060" i="5"/>
  <c r="IV1059" i="5"/>
  <c r="D1059" i="5"/>
  <c r="IV1057" i="5"/>
  <c r="D1057" i="5"/>
  <c r="IV1056" i="5"/>
  <c r="D1056" i="5"/>
  <c r="IV1055" i="5"/>
  <c r="D1055" i="5"/>
  <c r="IV1053" i="5"/>
  <c r="D1053" i="5"/>
  <c r="IV1052" i="5"/>
  <c r="D1052" i="5"/>
  <c r="IV1051" i="5"/>
  <c r="D1051" i="5"/>
  <c r="IV1049" i="5"/>
  <c r="D1049" i="5"/>
  <c r="IV1048" i="5"/>
  <c r="D1048" i="5"/>
  <c r="IV1047" i="5"/>
  <c r="D1047" i="5"/>
  <c r="IV1045" i="5"/>
  <c r="D1045" i="5"/>
  <c r="IV1044" i="5"/>
  <c r="D1044" i="5"/>
  <c r="IV1043" i="5"/>
  <c r="D1043" i="5"/>
  <c r="IV1040" i="5"/>
  <c r="D1040" i="5"/>
  <c r="IV1039" i="5"/>
  <c r="D1039" i="5"/>
  <c r="IV1038" i="5"/>
  <c r="D1038" i="5"/>
  <c r="IV1037" i="5"/>
  <c r="D1037" i="5"/>
  <c r="IV1035" i="5"/>
  <c r="D1035" i="5"/>
  <c r="IV1034" i="5"/>
  <c r="D1034" i="5"/>
  <c r="IV1033" i="5"/>
  <c r="D1033" i="5"/>
  <c r="IV1032" i="5"/>
  <c r="D1032" i="5"/>
  <c r="IV1031" i="5"/>
  <c r="D1031" i="5"/>
  <c r="IV1027" i="5"/>
  <c r="D1027" i="5"/>
  <c r="IV1026" i="5"/>
  <c r="D1026" i="5"/>
  <c r="IV1025" i="5"/>
  <c r="D1025" i="5"/>
  <c r="IV1024" i="5"/>
  <c r="D1024" i="5"/>
  <c r="E1023" i="5"/>
  <c r="IV1022" i="5"/>
  <c r="E1022" i="5"/>
  <c r="F1022" i="5" s="1"/>
  <c r="IV1021" i="5"/>
  <c r="E1021" i="5"/>
  <c r="F1021" i="5" s="1"/>
  <c r="IV1020" i="5"/>
  <c r="F1012" i="5"/>
  <c r="F1011" i="5"/>
  <c r="F1005" i="5"/>
  <c r="F1004" i="5"/>
  <c r="F1003" i="5"/>
  <c r="F1002" i="5"/>
  <c r="F1001" i="5"/>
  <c r="F1000" i="5"/>
  <c r="F999" i="5"/>
  <c r="F997" i="5"/>
  <c r="F996" i="5"/>
  <c r="F995" i="5"/>
  <c r="F994" i="5"/>
  <c r="F993" i="5"/>
  <c r="F992" i="5"/>
  <c r="F991" i="5"/>
  <c r="E989" i="5"/>
  <c r="F989" i="5" s="1"/>
  <c r="F988" i="5"/>
  <c r="F987" i="5"/>
  <c r="F986" i="5"/>
  <c r="F985" i="5"/>
  <c r="F984" i="5"/>
  <c r="F983" i="5"/>
  <c r="IV981" i="5"/>
  <c r="E981" i="5"/>
  <c r="F981" i="5" s="1"/>
  <c r="E980" i="5"/>
  <c r="F980" i="5" s="1"/>
  <c r="F979" i="5"/>
  <c r="F978" i="5"/>
  <c r="F977" i="5"/>
  <c r="F976" i="5"/>
  <c r="F975" i="5"/>
  <c r="F973" i="5"/>
  <c r="F972" i="5"/>
  <c r="F971" i="5"/>
  <c r="E970" i="5"/>
  <c r="F970" i="5" s="1"/>
  <c r="E969" i="5"/>
  <c r="F969" i="5" s="1"/>
  <c r="E968" i="5"/>
  <c r="F968" i="5" s="1"/>
  <c r="E967" i="5"/>
  <c r="F967" i="5" s="1"/>
  <c r="E966" i="5"/>
  <c r="F966" i="5" s="1"/>
  <c r="E965" i="5"/>
  <c r="F965" i="5" s="1"/>
  <c r="E964" i="5"/>
  <c r="F964" i="5" s="1"/>
  <c r="E963" i="5"/>
  <c r="F963" i="5" s="1"/>
  <c r="E962" i="5"/>
  <c r="F962" i="5" s="1"/>
  <c r="E961" i="5"/>
  <c r="F961" i="5" s="1"/>
  <c r="E960" i="5"/>
  <c r="F960" i="5" s="1"/>
  <c r="E959" i="5"/>
  <c r="F959" i="5" s="1"/>
  <c r="E958" i="5"/>
  <c r="F958" i="5" s="1"/>
  <c r="E957" i="5"/>
  <c r="F957" i="5" s="1"/>
  <c r="E956" i="5"/>
  <c r="F956" i="5" s="1"/>
  <c r="E955" i="5"/>
  <c r="F955" i="5" s="1"/>
  <c r="E954" i="5"/>
  <c r="F954" i="5" s="1"/>
  <c r="F952" i="5"/>
  <c r="F951" i="5"/>
  <c r="F950" i="5"/>
  <c r="F949" i="5"/>
  <c r="F948" i="5"/>
  <c r="F947" i="5"/>
  <c r="F946" i="5"/>
  <c r="F945" i="5"/>
  <c r="F944" i="5"/>
  <c r="F943" i="5"/>
  <c r="F942" i="5"/>
  <c r="F941" i="5"/>
  <c r="F940" i="5"/>
  <c r="F939" i="5"/>
  <c r="F938" i="5"/>
  <c r="F937" i="5"/>
  <c r="F936" i="5"/>
  <c r="F935" i="5"/>
  <c r="F934" i="5"/>
  <c r="F933" i="5"/>
  <c r="F932" i="5"/>
  <c r="F931" i="5"/>
  <c r="F930" i="5"/>
  <c r="F929" i="5"/>
  <c r="F928" i="5"/>
  <c r="F927" i="5"/>
  <c r="F926" i="5"/>
  <c r="F925" i="5"/>
  <c r="F924" i="5"/>
  <c r="F923" i="5"/>
  <c r="F922" i="5"/>
  <c r="E921" i="5"/>
  <c r="F921" i="5" s="1"/>
  <c r="F905" i="5"/>
  <c r="IV904" i="5"/>
  <c r="E904" i="5"/>
  <c r="F904" i="5" s="1"/>
  <c r="IV903" i="5"/>
  <c r="E903" i="5"/>
  <c r="F903" i="5" s="1"/>
  <c r="IV902" i="5"/>
  <c r="E902" i="5"/>
  <c r="F902" i="5" s="1"/>
  <c r="IV901" i="5"/>
  <c r="E901" i="5"/>
  <c r="F901" i="5" s="1"/>
  <c r="IV900" i="5"/>
  <c r="E900" i="5"/>
  <c r="F900" i="5" s="1"/>
  <c r="IV899" i="5"/>
  <c r="E899" i="5"/>
  <c r="F899" i="5" s="1"/>
  <c r="IV898" i="5"/>
  <c r="E898" i="5"/>
  <c r="F898" i="5" s="1"/>
  <c r="IV897" i="5"/>
  <c r="E897" i="5"/>
  <c r="F897" i="5" s="1"/>
  <c r="IV896" i="5"/>
  <c r="E896" i="5"/>
  <c r="F896" i="5" s="1"/>
  <c r="IV895" i="5"/>
  <c r="IT895" i="5"/>
  <c r="E895" i="5"/>
  <c r="F895" i="5" s="1"/>
  <c r="IV894" i="5"/>
  <c r="E894" i="5"/>
  <c r="F894" i="5" s="1"/>
  <c r="F893" i="5"/>
  <c r="IV892" i="5"/>
  <c r="IU892" i="5"/>
  <c r="D892" i="5"/>
  <c r="F892" i="5" s="1"/>
  <c r="IV891" i="5"/>
  <c r="IU891" i="5"/>
  <c r="D891" i="5"/>
  <c r="F891" i="5" s="1"/>
  <c r="IV890" i="5"/>
  <c r="IU890" i="5"/>
  <c r="D890" i="5"/>
  <c r="F890" i="5" s="1"/>
  <c r="IV889" i="5"/>
  <c r="IU889" i="5"/>
  <c r="D889" i="5"/>
  <c r="F889" i="5" s="1"/>
  <c r="D888" i="5"/>
  <c r="F888" i="5" s="1"/>
  <c r="D887" i="5"/>
  <c r="F887" i="5" s="1"/>
  <c r="D886" i="5"/>
  <c r="F886" i="5" s="1"/>
  <c r="IV885" i="5"/>
  <c r="IU885" i="5"/>
  <c r="IT885" i="5"/>
  <c r="D885" i="5"/>
  <c r="F885" i="5" s="1"/>
  <c r="IV884" i="5"/>
  <c r="IU884" i="5"/>
  <c r="D884" i="5"/>
  <c r="F884" i="5" s="1"/>
  <c r="IV883" i="5"/>
  <c r="IU883" i="5"/>
  <c r="IT883" i="5"/>
  <c r="D883" i="5"/>
  <c r="F883" i="5" s="1"/>
  <c r="IV882" i="5"/>
  <c r="IU882" i="5"/>
  <c r="D882" i="5"/>
  <c r="F882" i="5" s="1"/>
  <c r="IV881" i="5"/>
  <c r="IU881" i="5"/>
  <c r="D881" i="5"/>
  <c r="F881" i="5" s="1"/>
  <c r="IV880" i="5"/>
  <c r="IU880" i="5"/>
  <c r="D880" i="5"/>
  <c r="F880" i="5" s="1"/>
  <c r="IV879" i="5"/>
  <c r="D879" i="5"/>
  <c r="F879" i="5" s="1"/>
  <c r="IV878" i="5"/>
  <c r="D878" i="5"/>
  <c r="F878" i="5" s="1"/>
  <c r="IV877" i="5"/>
  <c r="IU877" i="5"/>
  <c r="D877" i="5"/>
  <c r="F877" i="5" s="1"/>
  <c r="IV876" i="5"/>
  <c r="IU876" i="5"/>
  <c r="D876" i="5"/>
  <c r="F876" i="5" s="1"/>
  <c r="IV875" i="5"/>
  <c r="IU875" i="5"/>
  <c r="IT875" i="5"/>
  <c r="D875" i="5"/>
  <c r="F875" i="5" s="1"/>
  <c r="IV874" i="5"/>
  <c r="IU874" i="5"/>
  <c r="IT874" i="5"/>
  <c r="D874" i="5"/>
  <c r="F874" i="5" s="1"/>
  <c r="IV873" i="5"/>
  <c r="IU873" i="5"/>
  <c r="IT873" i="5"/>
  <c r="D873" i="5"/>
  <c r="F873" i="5" s="1"/>
  <c r="IV872" i="5"/>
  <c r="IU872" i="5"/>
  <c r="D872" i="5"/>
  <c r="F872" i="5" s="1"/>
  <c r="D871" i="5"/>
  <c r="F871" i="5" s="1"/>
  <c r="D870" i="5"/>
  <c r="F870" i="5" s="1"/>
  <c r="IV869" i="5"/>
  <c r="IU869" i="5"/>
  <c r="D869" i="5"/>
  <c r="F869" i="5" s="1"/>
  <c r="IV867" i="5"/>
  <c r="IU867" i="5"/>
  <c r="IT867" i="5"/>
  <c r="D867" i="5"/>
  <c r="F867" i="5" s="1"/>
  <c r="IV865" i="5"/>
  <c r="IU865" i="5"/>
  <c r="D865" i="5"/>
  <c r="F865" i="5" s="1"/>
  <c r="IV864" i="5"/>
  <c r="IU864" i="5"/>
  <c r="D864" i="5"/>
  <c r="F864" i="5" s="1"/>
  <c r="IV863" i="5"/>
  <c r="IU863" i="5"/>
  <c r="IT863" i="5"/>
  <c r="D863" i="5"/>
  <c r="F863" i="5" s="1"/>
  <c r="IV862" i="5"/>
  <c r="IU862" i="5"/>
  <c r="IT862" i="5"/>
  <c r="D862" i="5"/>
  <c r="F862" i="5" s="1"/>
  <c r="D861" i="5"/>
  <c r="F861" i="5" s="1"/>
  <c r="IV859" i="5"/>
  <c r="IU859" i="5"/>
  <c r="IT859" i="5"/>
  <c r="D859" i="5"/>
  <c r="F859" i="5" s="1"/>
  <c r="F858" i="5"/>
  <c r="IV857" i="5"/>
  <c r="IU857" i="5"/>
  <c r="D857" i="5"/>
  <c r="F857" i="5" s="1"/>
  <c r="IV856" i="5"/>
  <c r="IU856" i="5"/>
  <c r="IT856" i="5"/>
  <c r="D856" i="5"/>
  <c r="F856" i="5" s="1"/>
  <c r="D855" i="5"/>
  <c r="F855" i="5" s="1"/>
  <c r="IV853" i="5"/>
  <c r="IU853" i="5"/>
  <c r="IT853" i="5"/>
  <c r="D853" i="5"/>
  <c r="F853" i="5" s="1"/>
  <c r="D852" i="5"/>
  <c r="F852" i="5" s="1"/>
  <c r="F850" i="5"/>
  <c r="IV849" i="5"/>
  <c r="IU849" i="5"/>
  <c r="IT849" i="5"/>
  <c r="D849" i="5"/>
  <c r="F849" i="5" s="1"/>
  <c r="IV848" i="5"/>
  <c r="IU848" i="5"/>
  <c r="IT848" i="5"/>
  <c r="D848" i="5"/>
  <c r="F848" i="5" s="1"/>
  <c r="IV847" i="5"/>
  <c r="IU847" i="5"/>
  <c r="IT847" i="5"/>
  <c r="D847" i="5"/>
  <c r="F847" i="5" s="1"/>
  <c r="D846" i="5"/>
  <c r="F846" i="5" s="1"/>
  <c r="IV844" i="5"/>
  <c r="IU844" i="5"/>
  <c r="IT844" i="5"/>
  <c r="D844" i="5"/>
  <c r="F844" i="5" s="1"/>
  <c r="D843" i="5"/>
  <c r="F843" i="5" s="1"/>
  <c r="IV842" i="5"/>
  <c r="IU842" i="5"/>
  <c r="IT842" i="5"/>
  <c r="D842" i="5"/>
  <c r="F842" i="5" s="1"/>
  <c r="D840" i="5"/>
  <c r="F840" i="5" s="1"/>
  <c r="D839" i="5"/>
  <c r="F839" i="5" s="1"/>
  <c r="D838" i="5"/>
  <c r="F838" i="5" s="1"/>
  <c r="D837" i="5"/>
  <c r="F837" i="5" s="1"/>
  <c r="IV836" i="5"/>
  <c r="IU836" i="5"/>
  <c r="D836" i="5"/>
  <c r="F836" i="5" s="1"/>
  <c r="IV835" i="5"/>
  <c r="IU835" i="5"/>
  <c r="D835" i="5"/>
  <c r="F835" i="5" s="1"/>
  <c r="IV834" i="5"/>
  <c r="IU834" i="5"/>
  <c r="D834" i="5"/>
  <c r="F834" i="5" s="1"/>
  <c r="IV833" i="5"/>
  <c r="IU833" i="5"/>
  <c r="D833" i="5"/>
  <c r="F833" i="5" s="1"/>
  <c r="IV832" i="5"/>
  <c r="IU832" i="5"/>
  <c r="D832" i="5"/>
  <c r="F832" i="5" s="1"/>
  <c r="IV831" i="5"/>
  <c r="IU831" i="5"/>
  <c r="IT831" i="5"/>
  <c r="D831" i="5"/>
  <c r="F831" i="5" s="1"/>
  <c r="D830" i="5"/>
  <c r="F830" i="5" s="1"/>
  <c r="IV829" i="5"/>
  <c r="IU829" i="5"/>
  <c r="D829" i="5"/>
  <c r="F829" i="5" s="1"/>
  <c r="D828" i="5"/>
  <c r="F828" i="5" s="1"/>
  <c r="IV827" i="5"/>
  <c r="IU827" i="5"/>
  <c r="D827" i="5"/>
  <c r="F827" i="5" s="1"/>
  <c r="D826" i="5"/>
  <c r="F826" i="5" s="1"/>
  <c r="IV824" i="5"/>
  <c r="IU824" i="5"/>
  <c r="IT824" i="5"/>
  <c r="D824" i="5"/>
  <c r="F824" i="5" s="1"/>
  <c r="IV823" i="5"/>
  <c r="IU823" i="5"/>
  <c r="D823" i="5"/>
  <c r="F823" i="5" s="1"/>
  <c r="IV821" i="5"/>
  <c r="IU821" i="5"/>
  <c r="IT821" i="5"/>
  <c r="D821" i="5"/>
  <c r="F821" i="5" s="1"/>
  <c r="IV820" i="5"/>
  <c r="IU820" i="5"/>
  <c r="IT820" i="5"/>
  <c r="D820" i="5"/>
  <c r="F820" i="5" s="1"/>
  <c r="D819" i="5"/>
  <c r="F819" i="5" s="1"/>
  <c r="D818" i="5"/>
  <c r="F818" i="5" s="1"/>
  <c r="IV817" i="5"/>
  <c r="IU817" i="5"/>
  <c r="IT817" i="5"/>
  <c r="D817" i="5"/>
  <c r="F817" i="5" s="1"/>
  <c r="D816" i="5"/>
  <c r="F816" i="5" s="1"/>
  <c r="IV815" i="5"/>
  <c r="IU815" i="5"/>
  <c r="IT815" i="5"/>
  <c r="D815" i="5"/>
  <c r="F815" i="5" s="1"/>
  <c r="IV814" i="5"/>
  <c r="IU814" i="5"/>
  <c r="IT814" i="5"/>
  <c r="D814" i="5"/>
  <c r="F814" i="5" s="1"/>
  <c r="IV813" i="5"/>
  <c r="IU813" i="5"/>
  <c r="IT813" i="5"/>
  <c r="D813" i="5"/>
  <c r="F813" i="5" s="1"/>
  <c r="IV812" i="5"/>
  <c r="IU812" i="5"/>
  <c r="IT812" i="5"/>
  <c r="D812" i="5"/>
  <c r="F812" i="5" s="1"/>
  <c r="IV810" i="5"/>
  <c r="IU810" i="5"/>
  <c r="D810" i="5"/>
  <c r="F810" i="5" s="1"/>
  <c r="D809" i="5"/>
  <c r="F809" i="5" s="1"/>
  <c r="IV808" i="5"/>
  <c r="IT808" i="5"/>
  <c r="D808" i="5"/>
  <c r="F808" i="5" s="1"/>
  <c r="IV806" i="5"/>
  <c r="IU806" i="5"/>
  <c r="D806" i="5"/>
  <c r="F806" i="5" s="1"/>
  <c r="IV805" i="5"/>
  <c r="IU805" i="5"/>
  <c r="D805" i="5"/>
  <c r="F805" i="5" s="1"/>
  <c r="IV804" i="5"/>
  <c r="IU804" i="5"/>
  <c r="D804" i="5"/>
  <c r="F804" i="5" s="1"/>
  <c r="D802" i="5"/>
  <c r="F802" i="5" s="1"/>
  <c r="IV801" i="5"/>
  <c r="IU801" i="5"/>
  <c r="D801" i="5"/>
  <c r="F801" i="5" s="1"/>
  <c r="IV800" i="5"/>
  <c r="IU800" i="5"/>
  <c r="D800" i="5"/>
  <c r="F800" i="5" s="1"/>
  <c r="IV799" i="5"/>
  <c r="IU799" i="5"/>
  <c r="D799" i="5"/>
  <c r="F799" i="5" s="1"/>
  <c r="D797" i="5"/>
  <c r="F797" i="5" s="1"/>
  <c r="IV796" i="5"/>
  <c r="IU796" i="5"/>
  <c r="D796" i="5"/>
  <c r="F796" i="5" s="1"/>
  <c r="IV795" i="5"/>
  <c r="IU795" i="5"/>
  <c r="IT795" i="5"/>
  <c r="D795" i="5"/>
  <c r="F795" i="5" s="1"/>
  <c r="D794" i="5"/>
  <c r="F794" i="5" s="1"/>
  <c r="IV793" i="5"/>
  <c r="IU793" i="5"/>
  <c r="D793" i="5"/>
  <c r="F793" i="5" s="1"/>
  <c r="IV792" i="5"/>
  <c r="IU792" i="5"/>
  <c r="IT792" i="5"/>
  <c r="D792" i="5"/>
  <c r="F792" i="5" s="1"/>
  <c r="D791" i="5"/>
  <c r="F791" i="5" s="1"/>
  <c r="IV789" i="5"/>
  <c r="IU789" i="5"/>
  <c r="D789" i="5"/>
  <c r="E789" i="5" s="1"/>
  <c r="IV788" i="5"/>
  <c r="IU788" i="5"/>
  <c r="D788" i="5"/>
  <c r="E788" i="5" s="1"/>
  <c r="F788" i="5" s="1"/>
  <c r="IV786" i="5"/>
  <c r="IU786" i="5"/>
  <c r="D786" i="5"/>
  <c r="IV785" i="5"/>
  <c r="IU785" i="5"/>
  <c r="D785" i="5"/>
  <c r="IV784" i="5"/>
  <c r="IU784" i="5"/>
  <c r="D784" i="5"/>
  <c r="E784" i="5" s="1"/>
  <c r="IV782" i="5"/>
  <c r="IU782" i="5"/>
  <c r="D782" i="5"/>
  <c r="E782" i="5" s="1"/>
  <c r="IV781" i="5"/>
  <c r="IU781" i="5"/>
  <c r="D781" i="5"/>
  <c r="IV780" i="5"/>
  <c r="IU780" i="5"/>
  <c r="D780" i="5"/>
  <c r="E780" i="5" s="1"/>
  <c r="IV779" i="5"/>
  <c r="IU779" i="5"/>
  <c r="D779" i="5"/>
  <c r="E779" i="5" s="1"/>
  <c r="F779" i="5" s="1"/>
  <c r="IV777" i="5"/>
  <c r="IU777" i="5"/>
  <c r="D777" i="5"/>
  <c r="E777" i="5" s="1"/>
  <c r="F777" i="5" s="1"/>
  <c r="F755" i="5"/>
  <c r="F754" i="5"/>
  <c r="F753" i="5"/>
  <c r="F752" i="5"/>
  <c r="F751" i="5"/>
  <c r="F750" i="5"/>
  <c r="F749" i="5"/>
  <c r="F748" i="5"/>
  <c r="F747" i="5"/>
  <c r="F745" i="5"/>
  <c r="F743" i="5"/>
  <c r="E741" i="5"/>
  <c r="F741" i="5" s="1"/>
  <c r="E739" i="5"/>
  <c r="F739" i="5" s="1"/>
  <c r="F737" i="5"/>
  <c r="F736" i="5"/>
  <c r="E734" i="5"/>
  <c r="F734" i="5" s="1"/>
  <c r="E733" i="5"/>
  <c r="F733" i="5" s="1"/>
  <c r="E731" i="5"/>
  <c r="F731" i="5" s="1"/>
  <c r="F729" i="5"/>
  <c r="F728" i="5"/>
  <c r="E726" i="5"/>
  <c r="F726" i="5" s="1"/>
  <c r="F724" i="5"/>
  <c r="F723" i="5"/>
  <c r="F721" i="5"/>
  <c r="F720" i="5"/>
  <c r="F718" i="5"/>
  <c r="F717" i="5"/>
  <c r="F715" i="5"/>
  <c r="E704" i="5"/>
  <c r="F704" i="5" s="1"/>
  <c r="E703" i="5"/>
  <c r="F703" i="5" s="1"/>
  <c r="E702" i="5"/>
  <c r="F702" i="5" s="1"/>
  <c r="E700" i="5"/>
  <c r="F700" i="5" s="1"/>
  <c r="E699" i="5"/>
  <c r="F699" i="5" s="1"/>
  <c r="E698" i="5"/>
  <c r="F698" i="5" s="1"/>
  <c r="E696" i="5"/>
  <c r="F696" i="5" s="1"/>
  <c r="E695" i="5"/>
  <c r="F695" i="5" s="1"/>
  <c r="E694" i="5"/>
  <c r="F694" i="5" s="1"/>
  <c r="E692" i="5"/>
  <c r="F692" i="5" s="1"/>
  <c r="E691" i="5"/>
  <c r="F691" i="5" s="1"/>
  <c r="E690" i="5"/>
  <c r="F690" i="5" s="1"/>
  <c r="E689" i="5"/>
  <c r="F689" i="5" s="1"/>
  <c r="E688" i="5"/>
  <c r="F688" i="5" s="1"/>
  <c r="E687" i="5"/>
  <c r="F687" i="5" s="1"/>
  <c r="E686" i="5"/>
  <c r="F686" i="5" s="1"/>
  <c r="E685" i="5"/>
  <c r="F685" i="5" s="1"/>
  <c r="E684" i="5"/>
  <c r="F684" i="5" s="1"/>
  <c r="E682" i="5"/>
  <c r="F682" i="5" s="1"/>
  <c r="E681" i="5"/>
  <c r="F681" i="5" s="1"/>
  <c r="E680" i="5"/>
  <c r="F680" i="5" s="1"/>
  <c r="E679" i="5"/>
  <c r="F679" i="5" s="1"/>
  <c r="F678" i="5"/>
  <c r="F677" i="5"/>
  <c r="F676" i="5"/>
  <c r="F675" i="5"/>
  <c r="F674" i="5"/>
  <c r="F673" i="5"/>
  <c r="F672" i="5"/>
  <c r="E671" i="5"/>
  <c r="F671" i="5" s="1"/>
  <c r="E669" i="5"/>
  <c r="F669" i="5" s="1"/>
  <c r="E668" i="5"/>
  <c r="F668" i="5" s="1"/>
  <c r="E667" i="5"/>
  <c r="F667" i="5" s="1"/>
  <c r="E666" i="5"/>
  <c r="F666" i="5" s="1"/>
  <c r="E665" i="5"/>
  <c r="F665" i="5" s="1"/>
  <c r="E664" i="5"/>
  <c r="F664" i="5" s="1"/>
  <c r="E663" i="5"/>
  <c r="F663" i="5" s="1"/>
  <c r="E662" i="5"/>
  <c r="F662" i="5" s="1"/>
  <c r="E661" i="5"/>
  <c r="F661" i="5" s="1"/>
  <c r="E660" i="5"/>
  <c r="F660" i="5" s="1"/>
  <c r="E659" i="5"/>
  <c r="F659" i="5" s="1"/>
  <c r="E658" i="5"/>
  <c r="F658" i="5" s="1"/>
  <c r="E657" i="5"/>
  <c r="F657" i="5" s="1"/>
  <c r="E656" i="5"/>
  <c r="F656" i="5" s="1"/>
  <c r="E655" i="5"/>
  <c r="F655" i="5" s="1"/>
  <c r="E654" i="5"/>
  <c r="F654" i="5" s="1"/>
  <c r="E653" i="5"/>
  <c r="F653" i="5" s="1"/>
  <c r="E652" i="5"/>
  <c r="F652" i="5" s="1"/>
  <c r="E651" i="5"/>
  <c r="F651" i="5" s="1"/>
  <c r="E650" i="5"/>
  <c r="F650" i="5" s="1"/>
  <c r="E649" i="5"/>
  <c r="F649" i="5" s="1"/>
  <c r="E648" i="5"/>
  <c r="F648" i="5" s="1"/>
  <c r="E647" i="5"/>
  <c r="F647" i="5" s="1"/>
  <c r="E646" i="5"/>
  <c r="F646" i="5" s="1"/>
  <c r="E645" i="5"/>
  <c r="F645" i="5" s="1"/>
  <c r="E644" i="5"/>
  <c r="F644" i="5" s="1"/>
  <c r="E643" i="5"/>
  <c r="F643" i="5" s="1"/>
  <c r="E642" i="5"/>
  <c r="F642" i="5" s="1"/>
  <c r="E641" i="5"/>
  <c r="F641" i="5" s="1"/>
  <c r="F640" i="5"/>
  <c r="E639" i="5"/>
  <c r="F639" i="5" s="1"/>
  <c r="E638" i="5"/>
  <c r="F638" i="5" s="1"/>
  <c r="E636" i="5"/>
  <c r="F636" i="5" s="1"/>
  <c r="E635" i="5"/>
  <c r="F635" i="5" s="1"/>
  <c r="E634" i="5"/>
  <c r="F634" i="5" s="1"/>
  <c r="E633" i="5"/>
  <c r="F633" i="5" s="1"/>
  <c r="E631" i="5"/>
  <c r="F631" i="5" s="1"/>
  <c r="E630" i="5"/>
  <c r="F630" i="5" s="1"/>
  <c r="E629" i="5"/>
  <c r="F629" i="5" s="1"/>
  <c r="E628" i="5"/>
  <c r="F628" i="5" s="1"/>
  <c r="D627" i="5"/>
  <c r="F626" i="5"/>
  <c r="E624" i="5"/>
  <c r="F624" i="5" s="1"/>
  <c r="E623" i="5"/>
  <c r="F623" i="5" s="1"/>
  <c r="E622" i="5"/>
  <c r="F622" i="5" s="1"/>
  <c r="E621" i="5"/>
  <c r="F621" i="5" s="1"/>
  <c r="E620" i="5"/>
  <c r="F620" i="5" s="1"/>
  <c r="E618" i="5"/>
  <c r="F618" i="5" s="1"/>
  <c r="E617" i="5"/>
  <c r="F617" i="5" s="1"/>
  <c r="E616" i="5"/>
  <c r="F616" i="5" s="1"/>
  <c r="E615" i="5"/>
  <c r="F615" i="5" s="1"/>
  <c r="E614" i="5"/>
  <c r="F614" i="5" s="1"/>
  <c r="E613" i="5"/>
  <c r="F613" i="5" s="1"/>
  <c r="E612" i="5"/>
  <c r="F612" i="5" s="1"/>
  <c r="E611" i="5"/>
  <c r="F611" i="5" s="1"/>
  <c r="E610" i="5"/>
  <c r="F610" i="5" s="1"/>
  <c r="E609" i="5"/>
  <c r="F609" i="5" s="1"/>
  <c r="E608" i="5"/>
  <c r="F608" i="5" s="1"/>
  <c r="E607" i="5"/>
  <c r="F607" i="5" s="1"/>
  <c r="E606" i="5"/>
  <c r="F606" i="5" s="1"/>
  <c r="E605" i="5"/>
  <c r="F605" i="5" s="1"/>
  <c r="E604" i="5"/>
  <c r="F604" i="5" s="1"/>
  <c r="E603" i="5"/>
  <c r="F603" i="5" s="1"/>
  <c r="E602" i="5"/>
  <c r="F602" i="5" s="1"/>
  <c r="E601" i="5"/>
  <c r="F601" i="5" s="1"/>
  <c r="E600" i="5"/>
  <c r="F600" i="5" s="1"/>
  <c r="E599" i="5"/>
  <c r="F599" i="5" s="1"/>
  <c r="E598" i="5"/>
  <c r="F598" i="5" s="1"/>
  <c r="E597" i="5"/>
  <c r="F597" i="5" s="1"/>
  <c r="E596" i="5"/>
  <c r="F596" i="5" s="1"/>
  <c r="E595" i="5"/>
  <c r="F595" i="5" s="1"/>
  <c r="E594" i="5"/>
  <c r="F594" i="5" s="1"/>
  <c r="E593" i="5"/>
  <c r="F593" i="5" s="1"/>
  <c r="E592" i="5"/>
  <c r="F592" i="5" s="1"/>
  <c r="E591" i="5"/>
  <c r="F591" i="5" s="1"/>
  <c r="E589" i="5"/>
  <c r="F589" i="5" s="1"/>
  <c r="E588" i="5"/>
  <c r="F588" i="5" s="1"/>
  <c r="E587" i="5"/>
  <c r="F587" i="5" s="1"/>
  <c r="E586" i="5"/>
  <c r="F586" i="5" s="1"/>
  <c r="E585" i="5"/>
  <c r="F585" i="5" s="1"/>
  <c r="E584" i="5"/>
  <c r="F584" i="5" s="1"/>
  <c r="E583" i="5"/>
  <c r="F583" i="5" s="1"/>
  <c r="E582" i="5"/>
  <c r="F582" i="5" s="1"/>
  <c r="E581" i="5"/>
  <c r="F581" i="5" s="1"/>
  <c r="E580" i="5"/>
  <c r="F580" i="5" s="1"/>
  <c r="E579" i="5"/>
  <c r="F579" i="5" s="1"/>
  <c r="E578" i="5"/>
  <c r="F578" i="5" s="1"/>
  <c r="E577" i="5"/>
  <c r="F577" i="5" s="1"/>
  <c r="E575" i="5"/>
  <c r="F575" i="5" s="1"/>
  <c r="E574" i="5"/>
  <c r="F574" i="5" s="1"/>
  <c r="E573" i="5"/>
  <c r="F573" i="5" s="1"/>
  <c r="E572" i="5"/>
  <c r="F572" i="5" s="1"/>
  <c r="E571" i="5"/>
  <c r="F571" i="5" s="1"/>
  <c r="E570" i="5"/>
  <c r="F570" i="5" s="1"/>
  <c r="E569" i="5"/>
  <c r="F569" i="5" s="1"/>
  <c r="E568" i="5"/>
  <c r="F568" i="5" s="1"/>
  <c r="E567" i="5"/>
  <c r="F567" i="5" s="1"/>
  <c r="E566" i="5"/>
  <c r="F566" i="5" s="1"/>
  <c r="E565" i="5"/>
  <c r="F565" i="5" s="1"/>
  <c r="E564" i="5"/>
  <c r="F564" i="5" s="1"/>
  <c r="E563" i="5"/>
  <c r="F563" i="5" s="1"/>
  <c r="E562" i="5"/>
  <c r="F562" i="5" s="1"/>
  <c r="E560" i="5"/>
  <c r="F560" i="5" s="1"/>
  <c r="E559" i="5"/>
  <c r="F559" i="5" s="1"/>
  <c r="E558" i="5"/>
  <c r="F558" i="5" s="1"/>
  <c r="E557" i="5"/>
  <c r="F557" i="5" s="1"/>
  <c r="E556" i="5"/>
  <c r="F556" i="5" s="1"/>
  <c r="E555" i="5"/>
  <c r="F555" i="5" s="1"/>
  <c r="E554" i="5"/>
  <c r="F554" i="5" s="1"/>
  <c r="E553" i="5"/>
  <c r="F553" i="5" s="1"/>
  <c r="E552" i="5"/>
  <c r="F552" i="5" s="1"/>
  <c r="E550" i="5"/>
  <c r="F550" i="5" s="1"/>
  <c r="E549" i="5"/>
  <c r="F549" i="5" s="1"/>
  <c r="E547" i="5"/>
  <c r="F547" i="5" s="1"/>
  <c r="E545" i="5"/>
  <c r="F545" i="5" s="1"/>
  <c r="E544" i="5"/>
  <c r="F544" i="5" s="1"/>
  <c r="E543" i="5"/>
  <c r="F543" i="5" s="1"/>
  <c r="E542" i="5"/>
  <c r="F542" i="5" s="1"/>
  <c r="E541" i="5"/>
  <c r="F541" i="5" s="1"/>
  <c r="E540" i="5"/>
  <c r="F540" i="5" s="1"/>
  <c r="E539" i="5"/>
  <c r="F539" i="5" s="1"/>
  <c r="E538" i="5"/>
  <c r="F538" i="5" s="1"/>
  <c r="E537" i="5"/>
  <c r="F537" i="5" s="1"/>
  <c r="E536" i="5"/>
  <c r="F536" i="5" s="1"/>
  <c r="E535" i="5"/>
  <c r="F535" i="5" s="1"/>
  <c r="E534" i="5"/>
  <c r="F534" i="5" s="1"/>
  <c r="E532" i="5"/>
  <c r="F532" i="5" s="1"/>
  <c r="E530" i="5"/>
  <c r="F530" i="5" s="1"/>
  <c r="E529" i="5"/>
  <c r="F529" i="5" s="1"/>
  <c r="E528" i="5"/>
  <c r="F528" i="5" s="1"/>
  <c r="E527" i="5"/>
  <c r="F527" i="5" s="1"/>
  <c r="E526" i="5"/>
  <c r="F526" i="5" s="1"/>
  <c r="E525" i="5"/>
  <c r="F525" i="5" s="1"/>
  <c r="E524" i="5"/>
  <c r="F524" i="5" s="1"/>
  <c r="E523" i="5"/>
  <c r="F523" i="5" s="1"/>
  <c r="E522" i="5"/>
  <c r="F522" i="5" s="1"/>
  <c r="E521" i="5"/>
  <c r="F521" i="5" s="1"/>
  <c r="E520" i="5"/>
  <c r="F520" i="5" s="1"/>
  <c r="E519" i="5"/>
  <c r="F519" i="5" s="1"/>
  <c r="E518" i="5"/>
  <c r="F518" i="5" s="1"/>
  <c r="E517" i="5"/>
  <c r="F517" i="5" s="1"/>
  <c r="E516" i="5"/>
  <c r="F516" i="5" s="1"/>
  <c r="E514" i="5"/>
  <c r="F514" i="5" s="1"/>
  <c r="E512" i="5"/>
  <c r="F512" i="5" s="1"/>
  <c r="E511" i="5"/>
  <c r="F511" i="5" s="1"/>
  <c r="E510" i="5"/>
  <c r="F510" i="5" s="1"/>
  <c r="E509" i="5"/>
  <c r="F509" i="5" s="1"/>
  <c r="E508" i="5"/>
  <c r="F508" i="5" s="1"/>
  <c r="E507" i="5"/>
  <c r="F507" i="5" s="1"/>
  <c r="E505" i="5"/>
  <c r="F505" i="5" s="1"/>
  <c r="E503" i="5"/>
  <c r="F503" i="5" s="1"/>
  <c r="E502" i="5"/>
  <c r="F502" i="5" s="1"/>
  <c r="E501" i="5"/>
  <c r="F501" i="5" s="1"/>
  <c r="E500" i="5"/>
  <c r="F500" i="5" s="1"/>
  <c r="E498" i="5"/>
  <c r="F498" i="5" s="1"/>
  <c r="E497" i="5"/>
  <c r="F497" i="5" s="1"/>
  <c r="E496" i="5"/>
  <c r="F496" i="5" s="1"/>
  <c r="E495" i="5"/>
  <c r="F495" i="5" s="1"/>
  <c r="E493" i="5"/>
  <c r="F493" i="5" s="1"/>
  <c r="E492" i="5"/>
  <c r="F492" i="5" s="1"/>
  <c r="E491" i="5"/>
  <c r="F491" i="5" s="1"/>
  <c r="E490" i="5"/>
  <c r="F490" i="5" s="1"/>
  <c r="E489" i="5"/>
  <c r="F489" i="5" s="1"/>
  <c r="E488" i="5"/>
  <c r="F488" i="5" s="1"/>
  <c r="E487" i="5"/>
  <c r="F487" i="5" s="1"/>
  <c r="E486" i="5"/>
  <c r="F486" i="5" s="1"/>
  <c r="E485" i="5"/>
  <c r="F485" i="5" s="1"/>
  <c r="E484" i="5"/>
  <c r="F484" i="5" s="1"/>
  <c r="E483" i="5"/>
  <c r="F483" i="5" s="1"/>
  <c r="E482" i="5"/>
  <c r="F482" i="5" s="1"/>
  <c r="E481" i="5"/>
  <c r="F481" i="5" s="1"/>
  <c r="E480" i="5"/>
  <c r="F480" i="5" s="1"/>
  <c r="E479" i="5"/>
  <c r="F479" i="5" s="1"/>
  <c r="E478" i="5"/>
  <c r="F478" i="5" s="1"/>
  <c r="E477" i="5"/>
  <c r="F477" i="5" s="1"/>
  <c r="E476" i="5"/>
  <c r="F476" i="5" s="1"/>
  <c r="E475" i="5"/>
  <c r="F475" i="5" s="1"/>
  <c r="E474" i="5"/>
  <c r="F474" i="5" s="1"/>
  <c r="E473" i="5"/>
  <c r="F473" i="5" s="1"/>
  <c r="F472" i="5"/>
  <c r="F471" i="5"/>
  <c r="F470" i="5"/>
  <c r="F469" i="5"/>
  <c r="F466" i="5"/>
  <c r="F465" i="5"/>
  <c r="F464" i="5"/>
  <c r="F463" i="5"/>
  <c r="F462" i="5"/>
  <c r="F460" i="5"/>
  <c r="F459" i="5"/>
  <c r="E457" i="5"/>
  <c r="F457" i="5" s="1"/>
  <c r="E456" i="5"/>
  <c r="F456" i="5" s="1"/>
  <c r="E455" i="5"/>
  <c r="F455" i="5" s="1"/>
  <c r="E454" i="5"/>
  <c r="F454" i="5" s="1"/>
  <c r="E453" i="5"/>
  <c r="F453" i="5" s="1"/>
  <c r="E452" i="5"/>
  <c r="F452" i="5" s="1"/>
  <c r="E451" i="5"/>
  <c r="F451" i="5" s="1"/>
  <c r="E450" i="5"/>
  <c r="F450" i="5" s="1"/>
  <c r="E449" i="5"/>
  <c r="F449" i="5" s="1"/>
  <c r="E448" i="5"/>
  <c r="F448" i="5" s="1"/>
  <c r="F447" i="5"/>
  <c r="E446" i="5"/>
  <c r="F446" i="5" s="1"/>
  <c r="E445" i="5"/>
  <c r="F445" i="5" s="1"/>
  <c r="E444" i="5"/>
  <c r="F444" i="5" s="1"/>
  <c r="F443" i="5"/>
  <c r="F442" i="5"/>
  <c r="E440" i="5"/>
  <c r="F440" i="5" s="1"/>
  <c r="E439" i="5"/>
  <c r="F439" i="5" s="1"/>
  <c r="E438" i="5"/>
  <c r="F438" i="5" s="1"/>
  <c r="E437" i="5"/>
  <c r="F437" i="5" s="1"/>
  <c r="E436" i="5"/>
  <c r="F436" i="5" s="1"/>
  <c r="E435" i="5"/>
  <c r="F435" i="5" s="1"/>
  <c r="D433" i="5"/>
  <c r="D429" i="5"/>
  <c r="D428" i="5"/>
  <c r="D427" i="5"/>
  <c r="F426" i="5"/>
  <c r="F425" i="5"/>
  <c r="F424" i="5"/>
  <c r="F423" i="5"/>
  <c r="F422" i="5"/>
  <c r="F421" i="5"/>
  <c r="F420" i="5"/>
  <c r="F419" i="5"/>
  <c r="F418" i="5"/>
  <c r="F417" i="5"/>
  <c r="F416" i="5"/>
  <c r="F415" i="5"/>
  <c r="F414" i="5"/>
  <c r="F413" i="5"/>
  <c r="F412" i="5"/>
  <c r="F411" i="5"/>
  <c r="F410" i="5"/>
  <c r="F409" i="5"/>
  <c r="F408" i="5"/>
  <c r="F407" i="5"/>
  <c r="F406" i="5"/>
  <c r="F405" i="5"/>
  <c r="F404" i="5"/>
  <c r="F403" i="5"/>
  <c r="F402" i="5"/>
  <c r="F401" i="5"/>
  <c r="E399" i="5"/>
  <c r="F399" i="5" s="1"/>
  <c r="F376" i="5"/>
  <c r="F375" i="5"/>
  <c r="F374" i="5"/>
  <c r="F373" i="5"/>
  <c r="F372" i="5"/>
  <c r="F370" i="5"/>
  <c r="F369" i="5"/>
  <c r="F368" i="5"/>
  <c r="D345" i="5"/>
  <c r="D344" i="5"/>
  <c r="D343" i="5"/>
  <c r="D342" i="5"/>
  <c r="D341" i="5"/>
  <c r="D340" i="5"/>
  <c r="D339" i="5"/>
  <c r="F338" i="5"/>
  <c r="F337" i="5"/>
  <c r="F336" i="5"/>
  <c r="F335" i="5"/>
  <c r="F334" i="5"/>
  <c r="F333" i="5"/>
  <c r="F332" i="5"/>
  <c r="F331" i="5"/>
  <c r="F330" i="5"/>
  <c r="F329" i="5"/>
  <c r="F328" i="5"/>
  <c r="F327" i="5"/>
  <c r="D325" i="5"/>
  <c r="F317" i="5" s="1"/>
  <c r="D324" i="5"/>
  <c r="F324" i="5" s="1"/>
  <c r="D323" i="5"/>
  <c r="F323" i="5" s="1"/>
  <c r="D322" i="5"/>
  <c r="F322" i="5" s="1"/>
  <c r="D321" i="5"/>
  <c r="F321" i="5" s="1"/>
  <c r="D320" i="5"/>
  <c r="F320" i="5" s="1"/>
  <c r="D319" i="5"/>
  <c r="F319" i="5" s="1"/>
  <c r="D318" i="5"/>
  <c r="F318" i="5" s="1"/>
  <c r="D317" i="5"/>
  <c r="D316" i="5"/>
  <c r="F316" i="5" s="1"/>
  <c r="D315" i="5"/>
  <c r="F315" i="5" s="1"/>
  <c r="D314" i="5"/>
  <c r="F314" i="5" s="1"/>
  <c r="D313" i="5"/>
  <c r="F313" i="5" s="1"/>
  <c r="D312" i="5"/>
  <c r="F312" i="5" s="1"/>
  <c r="D311" i="5"/>
  <c r="F311" i="5" s="1"/>
  <c r="F309" i="5"/>
  <c r="F308" i="5"/>
  <c r="F307" i="5"/>
  <c r="F306" i="5"/>
  <c r="F304" i="5"/>
  <c r="F303" i="5"/>
  <c r="D302" i="5"/>
  <c r="F302" i="5" s="1"/>
  <c r="F301" i="5"/>
  <c r="F300" i="5"/>
  <c r="F299" i="5"/>
  <c r="F298" i="5"/>
  <c r="F297" i="5"/>
  <c r="F296" i="5"/>
  <c r="F295" i="5"/>
  <c r="F294" i="5"/>
  <c r="F293" i="5"/>
  <c r="F292" i="5"/>
  <c r="F291" i="5"/>
  <c r="F289" i="5"/>
  <c r="F288" i="5"/>
  <c r="F286" i="5"/>
  <c r="F285" i="5"/>
  <c r="F284" i="5"/>
  <c r="F283" i="5"/>
  <c r="F282" i="5"/>
  <c r="F281" i="5"/>
  <c r="F280" i="5"/>
  <c r="F279" i="5"/>
  <c r="F278" i="5"/>
  <c r="F277" i="5"/>
  <c r="F275" i="5"/>
  <c r="F274" i="5"/>
  <c r="F273" i="5"/>
  <c r="F272" i="5"/>
  <c r="F271" i="5"/>
  <c r="F270" i="5"/>
  <c r="F269" i="5"/>
  <c r="F268" i="5"/>
  <c r="F267" i="5"/>
  <c r="F265" i="5"/>
  <c r="F264" i="5"/>
  <c r="F263" i="5"/>
  <c r="F262" i="5"/>
  <c r="F261" i="5"/>
  <c r="F260" i="5"/>
  <c r="F259" i="5"/>
  <c r="F257" i="5"/>
  <c r="F256" i="5"/>
  <c r="F255" i="5"/>
  <c r="F254" i="5"/>
  <c r="F253" i="5"/>
  <c r="F252" i="5"/>
  <c r="F251" i="5"/>
  <c r="F250" i="5"/>
  <c r="E248" i="5"/>
  <c r="F248" i="5" s="1"/>
  <c r="E247" i="5"/>
  <c r="F247" i="5" s="1"/>
  <c r="D240" i="5"/>
  <c r="F240" i="5" s="1"/>
  <c r="F235" i="5"/>
  <c r="F234" i="5"/>
  <c r="D233" i="5"/>
  <c r="F233" i="5" s="1"/>
  <c r="J227" i="5"/>
  <c r="I227" i="5"/>
  <c r="J226" i="5"/>
  <c r="I226" i="5"/>
  <c r="J225" i="5"/>
  <c r="I225" i="5"/>
  <c r="F225" i="5"/>
  <c r="G225" i="5" s="1"/>
  <c r="F224" i="5"/>
  <c r="G224" i="5" s="1"/>
  <c r="J222" i="5"/>
  <c r="I222" i="5"/>
  <c r="J221" i="5"/>
  <c r="I221" i="5"/>
  <c r="F220" i="5"/>
  <c r="F219" i="5"/>
  <c r="K218" i="5"/>
  <c r="J218" i="5"/>
  <c r="I218" i="5"/>
  <c r="F218" i="5"/>
  <c r="G218" i="5" s="1"/>
  <c r="K217" i="5"/>
  <c r="J217" i="5"/>
  <c r="I217" i="5"/>
  <c r="F217" i="5"/>
  <c r="G217" i="5" s="1"/>
  <c r="K216" i="5"/>
  <c r="J216" i="5"/>
  <c r="I216" i="5"/>
  <c r="F216" i="5"/>
  <c r="G216" i="5" s="1"/>
  <c r="K215" i="5"/>
  <c r="J215" i="5"/>
  <c r="I215" i="5"/>
  <c r="F215" i="5"/>
  <c r="G215" i="5" s="1"/>
  <c r="K214" i="5"/>
  <c r="J214" i="5"/>
  <c r="I214" i="5"/>
  <c r="F214" i="5"/>
  <c r="G214" i="5" s="1"/>
  <c r="K213" i="5"/>
  <c r="J213" i="5"/>
  <c r="I213" i="5"/>
  <c r="F213" i="5"/>
  <c r="G213" i="5" s="1"/>
  <c r="K212" i="5"/>
  <c r="J212" i="5"/>
  <c r="I212" i="5"/>
  <c r="F212" i="5"/>
  <c r="G212" i="5" s="1"/>
  <c r="K211" i="5"/>
  <c r="J211" i="5"/>
  <c r="I211" i="5"/>
  <c r="F211" i="5"/>
  <c r="G211" i="5" s="1"/>
  <c r="F210" i="5"/>
  <c r="G210" i="5" s="1"/>
  <c r="F209" i="5"/>
  <c r="F205" i="5"/>
  <c r="F202" i="5"/>
  <c r="F201" i="5"/>
  <c r="F197" i="5"/>
  <c r="F196" i="5"/>
  <c r="G196" i="5" s="1"/>
  <c r="BH194" i="5"/>
  <c r="F194" i="5"/>
  <c r="G194" i="5" s="1"/>
  <c r="F192" i="5"/>
  <c r="G192" i="5" s="1"/>
  <c r="H190" i="5"/>
  <c r="F190" i="5"/>
  <c r="H189" i="5"/>
  <c r="F189" i="5"/>
  <c r="H188" i="5"/>
  <c r="H187" i="5"/>
  <c r="F187" i="5"/>
  <c r="F186" i="5"/>
  <c r="G186" i="5" s="1"/>
  <c r="I185" i="5"/>
  <c r="I184" i="5"/>
  <c r="I182" i="5"/>
  <c r="I181" i="5"/>
  <c r="F180" i="5"/>
  <c r="G180" i="5" s="1"/>
  <c r="I179" i="5"/>
  <c r="F178" i="5"/>
  <c r="J177" i="5"/>
  <c r="I176" i="5"/>
  <c r="F175" i="5"/>
  <c r="F174" i="5"/>
  <c r="G174" i="5" s="1"/>
  <c r="I173" i="5"/>
  <c r="J172" i="5"/>
  <c r="I170" i="5"/>
  <c r="I169" i="5"/>
  <c r="F168" i="5"/>
  <c r="G168" i="5" s="1"/>
  <c r="J167" i="5"/>
  <c r="F166" i="5"/>
  <c r="J165" i="5"/>
  <c r="I164" i="5"/>
  <c r="F162" i="5"/>
  <c r="G162" i="5" s="1"/>
  <c r="I161" i="5"/>
  <c r="J160" i="5"/>
  <c r="I158" i="5"/>
  <c r="I157" i="5"/>
  <c r="F156" i="5"/>
  <c r="G156" i="5" s="1"/>
  <c r="J155" i="5"/>
  <c r="F154" i="5"/>
  <c r="J153" i="5"/>
  <c r="I152" i="5"/>
  <c r="J151" i="5"/>
  <c r="F150" i="5"/>
  <c r="G150" i="5" s="1"/>
  <c r="I149" i="5"/>
  <c r="J148" i="5"/>
  <c r="I146" i="5"/>
  <c r="I145" i="5"/>
  <c r="F144" i="5"/>
  <c r="G144" i="5" s="1"/>
  <c r="J143" i="5"/>
  <c r="F143" i="5"/>
  <c r="G143" i="5" s="1"/>
  <c r="F142" i="5"/>
  <c r="J141" i="5"/>
  <c r="I140" i="5"/>
  <c r="I139" i="5"/>
  <c r="F138" i="5"/>
  <c r="G138" i="5" s="1"/>
  <c r="I137" i="5"/>
  <c r="J136" i="5"/>
  <c r="I134" i="5"/>
  <c r="I133" i="5"/>
  <c r="F132" i="5"/>
  <c r="G132" i="5" s="1"/>
  <c r="J131" i="5"/>
  <c r="F130" i="5"/>
  <c r="J129" i="5"/>
  <c r="I128" i="5"/>
  <c r="I127" i="5"/>
  <c r="F126" i="5"/>
  <c r="G126" i="5" s="1"/>
  <c r="I125" i="5"/>
  <c r="F124" i="5"/>
  <c r="G124" i="5" s="1"/>
  <c r="I122" i="5"/>
  <c r="I121" i="5"/>
  <c r="F120" i="5"/>
  <c r="G120" i="5" s="1"/>
  <c r="F119" i="5"/>
  <c r="G119" i="5" s="1"/>
  <c r="F118" i="5"/>
  <c r="J117" i="5"/>
  <c r="BH116" i="5"/>
  <c r="F116" i="5"/>
  <c r="J115" i="5"/>
  <c r="J114" i="5"/>
  <c r="F113" i="5"/>
  <c r="J112" i="5"/>
  <c r="I111" i="5"/>
  <c r="I110" i="5"/>
  <c r="I108" i="5"/>
  <c r="I107" i="5"/>
  <c r="F106" i="5"/>
  <c r="J105" i="5"/>
  <c r="J103" i="5"/>
  <c r="I101" i="5"/>
  <c r="J100" i="5"/>
  <c r="F99" i="5"/>
  <c r="G99" i="5" s="1"/>
  <c r="BH98" i="5"/>
  <c r="AL98" i="5"/>
  <c r="AM98" i="5" s="1"/>
  <c r="F98" i="5"/>
  <c r="J140" i="5" l="1"/>
  <c r="F325" i="5"/>
  <c r="F140" i="5"/>
  <c r="J110" i="5"/>
  <c r="I143" i="5"/>
  <c r="J124" i="5"/>
  <c r="J150" i="5"/>
  <c r="F100" i="5"/>
  <c r="J108" i="5"/>
  <c r="I144" i="5"/>
  <c r="I100" i="5"/>
  <c r="J127" i="5"/>
  <c r="F101" i="5"/>
  <c r="G101" i="5" s="1"/>
  <c r="F110" i="5"/>
  <c r="G110" i="5" s="1"/>
  <c r="J146" i="5"/>
  <c r="F165" i="5"/>
  <c r="F111" i="5"/>
  <c r="G111" i="5" s="1"/>
  <c r="F148" i="5"/>
  <c r="G148" i="5" s="1"/>
  <c r="J157" i="5"/>
  <c r="F167" i="5"/>
  <c r="I167" i="5"/>
  <c r="J149" i="5"/>
  <c r="F114" i="5"/>
  <c r="F128" i="5"/>
  <c r="G128" i="5" s="1"/>
  <c r="I150" i="5"/>
  <c r="J175" i="5"/>
  <c r="F184" i="5"/>
  <c r="G184" i="5" s="1"/>
  <c r="F129" i="5"/>
  <c r="F185" i="5"/>
  <c r="G185" i="5" s="1"/>
  <c r="I124" i="5"/>
  <c r="I151" i="5"/>
  <c r="F177" i="5"/>
  <c r="F152" i="5"/>
  <c r="J152" i="5"/>
  <c r="I119" i="5"/>
  <c r="J134" i="5"/>
  <c r="F127" i="5"/>
  <c r="G127" i="5" s="1"/>
  <c r="I172" i="5"/>
  <c r="F112" i="5"/>
  <c r="G112" i="5" s="1"/>
  <c r="F149" i="5"/>
  <c r="G149" i="5" s="1"/>
  <c r="J182" i="5"/>
  <c r="I99" i="5"/>
  <c r="J121" i="5"/>
  <c r="I156" i="5"/>
  <c r="F103" i="5"/>
  <c r="G103" i="5" s="1"/>
  <c r="J119" i="5"/>
  <c r="I132" i="5"/>
  <c r="J161" i="5"/>
  <c r="J169" i="5"/>
  <c r="J181" i="5"/>
  <c r="I186" i="5"/>
  <c r="F176" i="5"/>
  <c r="G176" i="5" s="1"/>
  <c r="J186" i="5"/>
  <c r="F208" i="5"/>
  <c r="G208" i="5" s="1"/>
  <c r="F115" i="5"/>
  <c r="G115" i="5" s="1"/>
  <c r="G100" i="5"/>
  <c r="I106" i="5"/>
  <c r="F151" i="5"/>
  <c r="G151" i="5" s="1"/>
  <c r="F172" i="5"/>
  <c r="G172" i="5" s="1"/>
  <c r="J107" i="5"/>
  <c r="F117" i="5"/>
  <c r="J128" i="5"/>
  <c r="I148" i="5"/>
  <c r="F179" i="5"/>
  <c r="G179" i="5" s="1"/>
  <c r="F782" i="5"/>
  <c r="I112" i="5"/>
  <c r="F137" i="5"/>
  <c r="G137" i="5" s="1"/>
  <c r="J173" i="5"/>
  <c r="J184" i="5"/>
  <c r="G189" i="5"/>
  <c r="F227" i="5"/>
  <c r="G227" i="5" s="1"/>
  <c r="J179" i="5"/>
  <c r="I138" i="5"/>
  <c r="F161" i="5"/>
  <c r="G161" i="5" s="1"/>
  <c r="I180" i="5"/>
  <c r="J185" i="5"/>
  <c r="F784" i="5"/>
  <c r="F204" i="5"/>
  <c r="G204" i="5" s="1"/>
  <c r="F105" i="5"/>
  <c r="G105" i="5" s="1"/>
  <c r="J133" i="5"/>
  <c r="J137" i="5"/>
  <c r="F141" i="5"/>
  <c r="G141" i="5" s="1"/>
  <c r="J158" i="5"/>
  <c r="I162" i="5"/>
  <c r="J174" i="5"/>
  <c r="G187" i="5"/>
  <c r="G219" i="5"/>
  <c r="F789" i="5"/>
  <c r="G113" i="5"/>
  <c r="J125" i="5"/>
  <c r="J162" i="5"/>
  <c r="G175" i="5"/>
  <c r="G205" i="5"/>
  <c r="G220" i="5"/>
  <c r="H220" i="5" s="1"/>
  <c r="I105" i="5"/>
  <c r="I120" i="5"/>
  <c r="F125" i="5"/>
  <c r="G125" i="5" s="1"/>
  <c r="F153" i="5"/>
  <c r="J101" i="5"/>
  <c r="I113" i="5"/>
  <c r="J122" i="5"/>
  <c r="I126" i="5"/>
  <c r="J138" i="5"/>
  <c r="F155" i="5"/>
  <c r="G155" i="5" s="1"/>
  <c r="F160" i="5"/>
  <c r="G160" i="5" s="1"/>
  <c r="F163" i="5"/>
  <c r="G163" i="5" s="1"/>
  <c r="G167" i="5"/>
  <c r="I175" i="5"/>
  <c r="F193" i="5"/>
  <c r="G193" i="5" s="1"/>
  <c r="F200" i="5"/>
  <c r="G200" i="5" s="1"/>
  <c r="J145" i="5"/>
  <c r="J113" i="5"/>
  <c r="J126" i="5"/>
  <c r="I163" i="5"/>
  <c r="F102" i="5"/>
  <c r="G102" i="5" s="1"/>
  <c r="G106" i="5"/>
  <c r="G114" i="5"/>
  <c r="F131" i="5"/>
  <c r="G131" i="5" s="1"/>
  <c r="F136" i="5"/>
  <c r="G136" i="5" s="1"/>
  <c r="F139" i="5"/>
  <c r="G139" i="5" s="1"/>
  <c r="I155" i="5"/>
  <c r="I160" i="5"/>
  <c r="J163" i="5"/>
  <c r="BI194" i="5"/>
  <c r="G201" i="5"/>
  <c r="I174" i="5"/>
  <c r="I102" i="5"/>
  <c r="J170" i="5"/>
  <c r="J102" i="5"/>
  <c r="J111" i="5"/>
  <c r="I114" i="5"/>
  <c r="I131" i="5"/>
  <c r="I136" i="5"/>
  <c r="J139" i="5"/>
  <c r="F164" i="5"/>
  <c r="G164" i="5" s="1"/>
  <c r="I168" i="5"/>
  <c r="F173" i="5"/>
  <c r="G173" i="5" s="1"/>
  <c r="J176" i="5"/>
  <c r="J164" i="5"/>
  <c r="G209" i="5"/>
  <c r="G197" i="5"/>
  <c r="G190" i="5"/>
  <c r="F1006" i="5"/>
  <c r="F1355" i="5"/>
  <c r="BI98" i="5"/>
  <c r="F206" i="5"/>
  <c r="G206" i="5" s="1"/>
  <c r="BI116" i="5"/>
  <c r="J116" i="5"/>
  <c r="I116" i="5"/>
  <c r="G116" i="5"/>
  <c r="F226" i="5"/>
  <c r="G226" i="5" s="1"/>
  <c r="J118" i="5"/>
  <c r="I118" i="5"/>
  <c r="G118" i="5"/>
  <c r="J130" i="5"/>
  <c r="I130" i="5"/>
  <c r="G130" i="5"/>
  <c r="J142" i="5"/>
  <c r="I142" i="5"/>
  <c r="G142" i="5"/>
  <c r="J154" i="5"/>
  <c r="I154" i="5"/>
  <c r="G154" i="5"/>
  <c r="J166" i="5"/>
  <c r="I166" i="5"/>
  <c r="G166" i="5"/>
  <c r="J178" i="5"/>
  <c r="I178" i="5"/>
  <c r="G178" i="5"/>
  <c r="G202" i="5"/>
  <c r="F188" i="5"/>
  <c r="G188" i="5" s="1"/>
  <c r="J109" i="5"/>
  <c r="I109" i="5"/>
  <c r="F109" i="5"/>
  <c r="G109" i="5" s="1"/>
  <c r="J123" i="5"/>
  <c r="I123" i="5"/>
  <c r="F123" i="5"/>
  <c r="G123" i="5" s="1"/>
  <c r="J135" i="5"/>
  <c r="I135" i="5"/>
  <c r="F135" i="5"/>
  <c r="G135" i="5" s="1"/>
  <c r="J147" i="5"/>
  <c r="I147" i="5"/>
  <c r="F147" i="5"/>
  <c r="G147" i="5" s="1"/>
  <c r="J159" i="5"/>
  <c r="I159" i="5"/>
  <c r="F159" i="5"/>
  <c r="G159" i="5" s="1"/>
  <c r="J171" i="5"/>
  <c r="I171" i="5"/>
  <c r="F171" i="5"/>
  <c r="G171" i="5" s="1"/>
  <c r="J183" i="5"/>
  <c r="I183" i="5"/>
  <c r="F183" i="5"/>
  <c r="G183" i="5" s="1"/>
  <c r="F191" i="5"/>
  <c r="G191" i="5" s="1"/>
  <c r="J104" i="5"/>
  <c r="I104" i="5"/>
  <c r="AN98" i="5"/>
  <c r="J98" i="5"/>
  <c r="I98" i="5"/>
  <c r="G98" i="5"/>
  <c r="F104" i="5"/>
  <c r="G104" i="5" s="1"/>
  <c r="F198" i="5"/>
  <c r="G198" i="5" s="1"/>
  <c r="J99" i="5"/>
  <c r="J106" i="5"/>
  <c r="J120" i="5"/>
  <c r="J132" i="5"/>
  <c r="J144" i="5"/>
  <c r="J156" i="5"/>
  <c r="J168" i="5"/>
  <c r="J180" i="5"/>
  <c r="E786" i="5"/>
  <c r="F786" i="5" s="1"/>
  <c r="E1026" i="5"/>
  <c r="F1026" i="5" s="1"/>
  <c r="E1035" i="5"/>
  <c r="F1035" i="5" s="1"/>
  <c r="E1044" i="5"/>
  <c r="F1044" i="5" s="1"/>
  <c r="E1052" i="5"/>
  <c r="F1052" i="5" s="1"/>
  <c r="E1060" i="5"/>
  <c r="F1060" i="5" s="1"/>
  <c r="E1066" i="5"/>
  <c r="F1066" i="5" s="1"/>
  <c r="E1075" i="5"/>
  <c r="F1075" i="5" s="1"/>
  <c r="E1094" i="5"/>
  <c r="F1094" i="5" s="1"/>
  <c r="E1102" i="5"/>
  <c r="F1102" i="5" s="1"/>
  <c r="E1108" i="5"/>
  <c r="F1108" i="5" s="1"/>
  <c r="E1115" i="5"/>
  <c r="F1115" i="5" s="1"/>
  <c r="E1121" i="5"/>
  <c r="F1121" i="5" s="1"/>
  <c r="E1129" i="5"/>
  <c r="F1129" i="5" s="1"/>
  <c r="E1135" i="5"/>
  <c r="F1135" i="5" s="1"/>
  <c r="E1142" i="5"/>
  <c r="F1142" i="5" s="1"/>
  <c r="E1148" i="5"/>
  <c r="F1148" i="5" s="1"/>
  <c r="E1155" i="5"/>
  <c r="F1155" i="5" s="1"/>
  <c r="E1162" i="5"/>
  <c r="F1162" i="5" s="1"/>
  <c r="E1170" i="5"/>
  <c r="F1170" i="5" s="1"/>
  <c r="E1176" i="5"/>
  <c r="F1176" i="5" s="1"/>
  <c r="E1185" i="5"/>
  <c r="F1185" i="5" s="1"/>
  <c r="E1191" i="5"/>
  <c r="F1191" i="5" s="1"/>
  <c r="E1199" i="5"/>
  <c r="F1199" i="5" s="1"/>
  <c r="E1206" i="5"/>
  <c r="F1206" i="5" s="1"/>
  <c r="E1213" i="5"/>
  <c r="F1213" i="5" s="1"/>
  <c r="E1220" i="5"/>
  <c r="F1220" i="5" s="1"/>
  <c r="BI99" i="5"/>
  <c r="F107" i="5"/>
  <c r="G107" i="5" s="1"/>
  <c r="F121" i="5"/>
  <c r="G121" i="5" s="1"/>
  <c r="F133" i="5"/>
  <c r="G133" i="5" s="1"/>
  <c r="G140" i="5"/>
  <c r="F145" i="5"/>
  <c r="G145" i="5" s="1"/>
  <c r="G152" i="5"/>
  <c r="F157" i="5"/>
  <c r="G157" i="5" s="1"/>
  <c r="F169" i="5"/>
  <c r="G169" i="5" s="1"/>
  <c r="F181" i="5"/>
  <c r="G181" i="5" s="1"/>
  <c r="F195" i="5"/>
  <c r="G195" i="5" s="1"/>
  <c r="F199" i="5"/>
  <c r="G199" i="5" s="1"/>
  <c r="F203" i="5"/>
  <c r="G203" i="5" s="1"/>
  <c r="F207" i="5"/>
  <c r="G207" i="5" s="1"/>
  <c r="F1255" i="5"/>
  <c r="F780" i="5"/>
  <c r="E627" i="5"/>
  <c r="F627" i="5" s="1"/>
  <c r="F1282" i="5"/>
  <c r="E1032" i="5"/>
  <c r="F1032" i="5" s="1"/>
  <c r="E1039" i="5"/>
  <c r="F1039" i="5" s="1"/>
  <c r="E1048" i="5"/>
  <c r="F1048" i="5" s="1"/>
  <c r="E1056" i="5"/>
  <c r="F1056" i="5" s="1"/>
  <c r="E1063" i="5"/>
  <c r="F1063" i="5" s="1"/>
  <c r="E1070" i="5"/>
  <c r="F1070" i="5" s="1"/>
  <c r="E1079" i="5"/>
  <c r="F1079" i="5" s="1"/>
  <c r="E1098" i="5"/>
  <c r="F1098" i="5" s="1"/>
  <c r="E1105" i="5"/>
  <c r="F1105" i="5" s="1"/>
  <c r="E1112" i="5"/>
  <c r="F1112" i="5" s="1"/>
  <c r="E1118" i="5"/>
  <c r="F1118" i="5" s="1"/>
  <c r="E1125" i="5"/>
  <c r="F1125" i="5" s="1"/>
  <c r="E1132" i="5"/>
  <c r="F1132" i="5" s="1"/>
  <c r="E1138" i="5"/>
  <c r="F1138" i="5" s="1"/>
  <c r="E1145" i="5"/>
  <c r="F1145" i="5" s="1"/>
  <c r="E1151" i="5"/>
  <c r="F1151" i="5" s="1"/>
  <c r="E1159" i="5"/>
  <c r="F1159" i="5" s="1"/>
  <c r="E1165" i="5"/>
  <c r="F1165" i="5" s="1"/>
  <c r="E1173" i="5"/>
  <c r="F1173" i="5" s="1"/>
  <c r="E1180" i="5"/>
  <c r="F1180" i="5" s="1"/>
  <c r="E1188" i="5"/>
  <c r="F1188" i="5" s="1"/>
  <c r="E1195" i="5"/>
  <c r="F1195" i="5" s="1"/>
  <c r="E1202" i="5"/>
  <c r="F1202" i="5" s="1"/>
  <c r="E1210" i="5"/>
  <c r="F1210" i="5" s="1"/>
  <c r="E1217" i="5"/>
  <c r="F1217" i="5" s="1"/>
  <c r="F108" i="5"/>
  <c r="G108" i="5" s="1"/>
  <c r="G117" i="5"/>
  <c r="F122" i="5"/>
  <c r="G122" i="5" s="1"/>
  <c r="G129" i="5"/>
  <c r="F134" i="5"/>
  <c r="G134" i="5" s="1"/>
  <c r="F146" i="5"/>
  <c r="G146" i="5" s="1"/>
  <c r="G153" i="5"/>
  <c r="F158" i="5"/>
  <c r="G158" i="5" s="1"/>
  <c r="G165" i="5"/>
  <c r="F170" i="5"/>
  <c r="G170" i="5" s="1"/>
  <c r="G177" i="5"/>
  <c r="F182" i="5"/>
  <c r="G182" i="5" s="1"/>
  <c r="E781" i="5"/>
  <c r="F781" i="5" s="1"/>
  <c r="I103" i="5"/>
  <c r="I115" i="5"/>
  <c r="I117" i="5"/>
  <c r="I129" i="5"/>
  <c r="I141" i="5"/>
  <c r="I153" i="5"/>
  <c r="I165" i="5"/>
  <c r="I177" i="5"/>
  <c r="E785" i="5"/>
  <c r="F785" i="5" s="1"/>
  <c r="F1278" i="5"/>
  <c r="E1256" i="5"/>
  <c r="F1256" i="5" s="1"/>
  <c r="E1280" i="5"/>
  <c r="F1280" i="5" s="1"/>
  <c r="E1283" i="5"/>
  <c r="F1283" i="5" s="1"/>
  <c r="E1291" i="5"/>
  <c r="F1291" i="5" s="1"/>
  <c r="E1362" i="5"/>
  <c r="F1362" i="5" s="1"/>
  <c r="E1024" i="5"/>
  <c r="F1024" i="5" s="1"/>
  <c r="E1027" i="5"/>
  <c r="F1027" i="5" s="1"/>
  <c r="E1033" i="5"/>
  <c r="F1033" i="5" s="1"/>
  <c r="E1037" i="5"/>
  <c r="F1037" i="5" s="1"/>
  <c r="E1040" i="5"/>
  <c r="F1040" i="5" s="1"/>
  <c r="E1045" i="5"/>
  <c r="F1045" i="5" s="1"/>
  <c r="E1049" i="5"/>
  <c r="F1049" i="5" s="1"/>
  <c r="E1053" i="5"/>
  <c r="F1053" i="5" s="1"/>
  <c r="E1057" i="5"/>
  <c r="F1057" i="5" s="1"/>
  <c r="E1061" i="5"/>
  <c r="F1061" i="5" s="1"/>
  <c r="E1064" i="5"/>
  <c r="F1064" i="5" s="1"/>
  <c r="E1067" i="5"/>
  <c r="F1067" i="5" s="1"/>
  <c r="E1072" i="5"/>
  <c r="F1072" i="5" s="1"/>
  <c r="E1076" i="5"/>
  <c r="F1076" i="5" s="1"/>
  <c r="E1080" i="5"/>
  <c r="F1080" i="5" s="1"/>
  <c r="E1095" i="5"/>
  <c r="F1095" i="5" s="1"/>
  <c r="E1099" i="5"/>
  <c r="F1099" i="5" s="1"/>
  <c r="E1103" i="5"/>
  <c r="F1103" i="5" s="1"/>
  <c r="E1106" i="5"/>
  <c r="F1106" i="5" s="1"/>
  <c r="E1109" i="5"/>
  <c r="F1109" i="5" s="1"/>
  <c r="E1113" i="5"/>
  <c r="F1113" i="5" s="1"/>
  <c r="E1116" i="5"/>
  <c r="F1116" i="5" s="1"/>
  <c r="E1119" i="5"/>
  <c r="F1119" i="5" s="1"/>
  <c r="E1122" i="5"/>
  <c r="F1122" i="5" s="1"/>
  <c r="E1126" i="5"/>
  <c r="F1126" i="5" s="1"/>
  <c r="E1130" i="5"/>
  <c r="F1130" i="5" s="1"/>
  <c r="E1133" i="5"/>
  <c r="F1133" i="5" s="1"/>
  <c r="E1136" i="5"/>
  <c r="F1136" i="5" s="1"/>
  <c r="E1139" i="5"/>
  <c r="F1139" i="5" s="1"/>
  <c r="E1143" i="5"/>
  <c r="F1143" i="5" s="1"/>
  <c r="E1146" i="5"/>
  <c r="F1146" i="5" s="1"/>
  <c r="E1149" i="5"/>
  <c r="F1149" i="5" s="1"/>
  <c r="E1152" i="5"/>
  <c r="F1152" i="5" s="1"/>
  <c r="E1157" i="5"/>
  <c r="F1157" i="5" s="1"/>
  <c r="E1160" i="5"/>
  <c r="F1160" i="5" s="1"/>
  <c r="E1163" i="5"/>
  <c r="F1163" i="5" s="1"/>
  <c r="E1168" i="5"/>
  <c r="F1168" i="5" s="1"/>
  <c r="E1171" i="5"/>
  <c r="F1171" i="5" s="1"/>
  <c r="E1174" i="5"/>
  <c r="F1174" i="5" s="1"/>
  <c r="E1177" i="5"/>
  <c r="F1177" i="5" s="1"/>
  <c r="E1181" i="5"/>
  <c r="F1181" i="5" s="1"/>
  <c r="E1186" i="5"/>
  <c r="F1186" i="5" s="1"/>
  <c r="E1189" i="5"/>
  <c r="F1189" i="5" s="1"/>
  <c r="E1192" i="5"/>
  <c r="F1192" i="5" s="1"/>
  <c r="E1196" i="5"/>
  <c r="F1196" i="5" s="1"/>
  <c r="E1200" i="5"/>
  <c r="F1200" i="5" s="1"/>
  <c r="E1203" i="5"/>
  <c r="F1203" i="5" s="1"/>
  <c r="E1207" i="5"/>
  <c r="F1207" i="5" s="1"/>
  <c r="E1211" i="5"/>
  <c r="F1211" i="5" s="1"/>
  <c r="E1214" i="5"/>
  <c r="F1214" i="5" s="1"/>
  <c r="E1218" i="5"/>
  <c r="F1218" i="5" s="1"/>
  <c r="E1221" i="5"/>
  <c r="F1221" i="5" s="1"/>
  <c r="E1277" i="5"/>
  <c r="F1277" i="5" s="1"/>
  <c r="E1281" i="5"/>
  <c r="F1281" i="5" s="1"/>
  <c r="E1292" i="5"/>
  <c r="F1292" i="5" s="1"/>
  <c r="E1359" i="5"/>
  <c r="F1359" i="5" s="1"/>
  <c r="E1025" i="5"/>
  <c r="F1025" i="5" s="1"/>
  <c r="E1031" i="5"/>
  <c r="F1031" i="5" s="1"/>
  <c r="E1034" i="5"/>
  <c r="F1034" i="5" s="1"/>
  <c r="E1038" i="5"/>
  <c r="F1038" i="5" s="1"/>
  <c r="E1043" i="5"/>
  <c r="F1043" i="5" s="1"/>
  <c r="E1047" i="5"/>
  <c r="F1047" i="5" s="1"/>
  <c r="E1051" i="5"/>
  <c r="F1051" i="5" s="1"/>
  <c r="E1055" i="5"/>
  <c r="F1055" i="5" s="1"/>
  <c r="E1059" i="5"/>
  <c r="F1059" i="5" s="1"/>
  <c r="E1062" i="5"/>
  <c r="F1062" i="5" s="1"/>
  <c r="E1065" i="5"/>
  <c r="F1065" i="5" s="1"/>
  <c r="E1069" i="5"/>
  <c r="F1069" i="5" s="1"/>
  <c r="E1073" i="5"/>
  <c r="F1073" i="5" s="1"/>
  <c r="E1077" i="5"/>
  <c r="F1077" i="5" s="1"/>
  <c r="E1081" i="5"/>
  <c r="F1081" i="5" s="1"/>
  <c r="E1096" i="5"/>
  <c r="F1096" i="5" s="1"/>
  <c r="E1101" i="5"/>
  <c r="F1101" i="5" s="1"/>
  <c r="E1104" i="5"/>
  <c r="F1104" i="5" s="1"/>
  <c r="E1107" i="5"/>
  <c r="F1107" i="5" s="1"/>
  <c r="E1110" i="5"/>
  <c r="F1110" i="5" s="1"/>
  <c r="E1114" i="5"/>
  <c r="F1114" i="5" s="1"/>
  <c r="E1117" i="5"/>
  <c r="F1117" i="5" s="1"/>
  <c r="E1120" i="5"/>
  <c r="F1120" i="5" s="1"/>
  <c r="E1123" i="5"/>
  <c r="F1123" i="5" s="1"/>
  <c r="E1128" i="5"/>
  <c r="F1128" i="5" s="1"/>
  <c r="E1131" i="5"/>
  <c r="F1131" i="5" s="1"/>
  <c r="E1134" i="5"/>
  <c r="F1134" i="5" s="1"/>
  <c r="E1137" i="5"/>
  <c r="F1137" i="5" s="1"/>
  <c r="E1141" i="5"/>
  <c r="F1141" i="5" s="1"/>
  <c r="E1144" i="5"/>
  <c r="F1144" i="5" s="1"/>
  <c r="E1147" i="5"/>
  <c r="F1147" i="5" s="1"/>
  <c r="E1150" i="5"/>
  <c r="F1150" i="5" s="1"/>
  <c r="E1154" i="5"/>
  <c r="F1154" i="5" s="1"/>
  <c r="E1158" i="5"/>
  <c r="F1158" i="5" s="1"/>
  <c r="E1161" i="5"/>
  <c r="F1161" i="5" s="1"/>
  <c r="E1164" i="5"/>
  <c r="F1164" i="5" s="1"/>
  <c r="E1169" i="5"/>
  <c r="F1169" i="5" s="1"/>
  <c r="E1172" i="5"/>
  <c r="F1172" i="5" s="1"/>
  <c r="E1175" i="5"/>
  <c r="F1175" i="5" s="1"/>
  <c r="E1178" i="5"/>
  <c r="F1178" i="5" s="1"/>
  <c r="E1182" i="5"/>
  <c r="F1182" i="5" s="1"/>
  <c r="E1187" i="5"/>
  <c r="F1187" i="5" s="1"/>
  <c r="E1190" i="5"/>
  <c r="F1190" i="5" s="1"/>
  <c r="E1194" i="5"/>
  <c r="F1194" i="5" s="1"/>
  <c r="E1198" i="5"/>
  <c r="F1198" i="5" s="1"/>
  <c r="E1201" i="5"/>
  <c r="F1201" i="5" s="1"/>
  <c r="E1205" i="5"/>
  <c r="F1205" i="5" s="1"/>
  <c r="E1208" i="5"/>
  <c r="F1208" i="5" s="1"/>
  <c r="E1212" i="5"/>
  <c r="F1212" i="5" s="1"/>
  <c r="E1216" i="5"/>
  <c r="F1216" i="5" s="1"/>
  <c r="E1219" i="5"/>
  <c r="F1219" i="5" s="1"/>
  <c r="E1222" i="5"/>
  <c r="F1222" i="5" s="1"/>
  <c r="E1230" i="5"/>
  <c r="F1230" i="5" s="1"/>
  <c r="E1247" i="5"/>
  <c r="F1247" i="5" s="1"/>
  <c r="E1373" i="5"/>
  <c r="F1373" i="5" s="1"/>
</calcChain>
</file>

<file path=xl/sharedStrings.xml><?xml version="1.0" encoding="utf-8"?>
<sst xmlns="http://schemas.openxmlformats.org/spreadsheetml/2006/main" count="7499" uniqueCount="2369">
  <si>
    <t xml:space="preserve">У Т В Е Р Ж Д А Ю  </t>
  </si>
  <si>
    <t xml:space="preserve">               Директор  ФГБУ «Оренбургский  </t>
  </si>
  <si>
    <t xml:space="preserve">         референтный центр Россельхознадзора»  </t>
  </si>
  <si>
    <t xml:space="preserve">                _________________ О.К. Зубкова</t>
  </si>
  <si>
    <t xml:space="preserve">Тарифы </t>
  </si>
  <si>
    <t xml:space="preserve">на оказание услуг (выполнение работ) федеральным государственным бюджетным учреждением                                                                                                                                                                             «Оренбургский референтный центр Россельхознадзора» на возмездной основе </t>
  </si>
  <si>
    <t>№                             п/п</t>
  </si>
  <si>
    <t>Наименование культуры</t>
  </si>
  <si>
    <t>Наименование исследований</t>
  </si>
  <si>
    <t>Единица измерения</t>
  </si>
  <si>
    <t>Стоимость услуг                                         (без НДС),                                (руб.)</t>
  </si>
  <si>
    <t>НДС 20% (руб.)</t>
  </si>
  <si>
    <t>Стоимость услуг                                         (с НДС),                                (руб.)</t>
  </si>
  <si>
    <t>проверка</t>
  </si>
  <si>
    <t>1.</t>
  </si>
  <si>
    <t>Пшеница, рожь, тритикале, кукуруза</t>
  </si>
  <si>
    <t>полный</t>
  </si>
  <si>
    <t>проба (контрольная единица)</t>
  </si>
  <si>
    <t xml:space="preserve">всхожесть </t>
  </si>
  <si>
    <t>проба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</si>
  <si>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</si>
  <si>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влажность                                           (воздушно-тепловой метод)</t>
  </si>
  <si>
    <t>чистота                              (гравиметрический (весовой) и визуальный методы)</t>
  </si>
  <si>
    <t>жизнеспособность                                                                       (тетразольно-топографический метод)</t>
  </si>
  <si>
    <t xml:space="preserve"> </t>
  </si>
  <si>
    <t>масса 1000 семян                                                                    (гравиметрический (весовой) метод)</t>
  </si>
  <si>
    <t>2.</t>
  </si>
  <si>
    <t>Ячмень, овес</t>
  </si>
  <si>
    <t>всхожесть</t>
  </si>
  <si>
    <t>3.</t>
  </si>
  <si>
    <t>Просо, гречиха, сорго, сорго-суданковый гибрид, суданская трава, конопля, сафлор</t>
  </si>
  <si>
    <t>4.</t>
  </si>
  <si>
    <t>Горох, нут, фасоль, чина, бобы, люпин</t>
  </si>
  <si>
    <t>5.</t>
  </si>
  <si>
    <t>Вика, чечевица, маш</t>
  </si>
  <si>
    <t>6.</t>
  </si>
  <si>
    <t>Подсолнечник, клещевина</t>
  </si>
  <si>
    <t>7.</t>
  </si>
  <si>
    <t>Лен масличный, лен-долгунец, кориандр</t>
  </si>
  <si>
    <t>8.</t>
  </si>
  <si>
    <t>Соя</t>
  </si>
  <si>
    <t>9.</t>
  </si>
  <si>
    <t>Свекла сахарная</t>
  </si>
  <si>
    <t>всхожесть и одноростковость</t>
  </si>
  <si>
    <t>10.</t>
  </si>
  <si>
    <t>Свекла кормовая, столовая</t>
  </si>
  <si>
    <t>11.</t>
  </si>
  <si>
    <t>Донник, люцерна, клевер, галега восточная</t>
  </si>
  <si>
    <t>12.</t>
  </si>
  <si>
    <t>Эспарцет</t>
  </si>
  <si>
    <t>13.</t>
  </si>
  <si>
    <t>Цветочные с  массой навески до 10 гр.</t>
  </si>
  <si>
    <t>14.</t>
  </si>
  <si>
    <t>Злаковые кормовые травы с массой навески  до 10 г; медоносные травы; лекарственные и ароматические культуры</t>
  </si>
  <si>
    <t>15.</t>
  </si>
  <si>
    <t>Культуры с массой навески  до 1 г</t>
  </si>
  <si>
    <t>16.</t>
  </si>
  <si>
    <t>Рапс, горчица, сурепица, рыжик, семена овощных культур с массой навески до 10 г</t>
  </si>
  <si>
    <t>17.</t>
  </si>
  <si>
    <t>Тыква, арбуз, дыня, кабачки, патиссоны</t>
  </si>
  <si>
    <t>18.</t>
  </si>
  <si>
    <t>Артишок, катран, спаржа, бамия, огурцы, шпинат</t>
  </si>
  <si>
    <t>19.</t>
  </si>
  <si>
    <t>Зерносмеси</t>
  </si>
  <si>
    <t>20.</t>
  </si>
  <si>
    <t>Травосмеси</t>
  </si>
  <si>
    <t>21.</t>
  </si>
  <si>
    <t>Прочие культуры</t>
  </si>
  <si>
    <t>22.</t>
  </si>
  <si>
    <t>Лук-севок, лук-выборок, чеснок</t>
  </si>
  <si>
    <t>полный                                                                  (визуальный метод)</t>
  </si>
  <si>
    <t>23.</t>
  </si>
  <si>
    <t>Картофель до 15 тонн</t>
  </si>
  <si>
    <t>24.</t>
  </si>
  <si>
    <t>Картофель 15,1 – 30,0</t>
  </si>
  <si>
    <t>25.</t>
  </si>
  <si>
    <t>Картофель 30,1 – 70,0</t>
  </si>
  <si>
    <t>26.</t>
  </si>
  <si>
    <t>Картофель 70,1 – 130,0</t>
  </si>
  <si>
    <t>27.</t>
  </si>
  <si>
    <t>Картофель 130,1 – 210,0</t>
  </si>
  <si>
    <t>28.</t>
  </si>
  <si>
    <t>Картофель 210,1 – 290,0</t>
  </si>
  <si>
    <t>29.</t>
  </si>
  <si>
    <t>Картофель 290,1 – 430,0</t>
  </si>
  <si>
    <t>30.</t>
  </si>
  <si>
    <t>Картофель 430,1 – 510,0</t>
  </si>
  <si>
    <t>31.</t>
  </si>
  <si>
    <t>Сельскохозяйственные культуры</t>
  </si>
  <si>
    <t>заселенность семян  вредителями                      (визуальный метод)</t>
  </si>
  <si>
    <t>32.</t>
  </si>
  <si>
    <t>33.</t>
  </si>
  <si>
    <t>Отбор проб от партии семян, упакованных в мешки, массой более 10 кг: количество мешков в партии, шт. до:</t>
  </si>
  <si>
    <t>33.1.</t>
  </si>
  <si>
    <t>контрольная единица</t>
  </si>
  <si>
    <t>33.2.</t>
  </si>
  <si>
    <t>33.3.</t>
  </si>
  <si>
    <t>33.4.</t>
  </si>
  <si>
    <t>33.5.</t>
  </si>
  <si>
    <t>33.6.</t>
  </si>
  <si>
    <t>33.7.</t>
  </si>
  <si>
    <t>33.8.</t>
  </si>
  <si>
    <t>33.9.</t>
  </si>
  <si>
    <t>33.10.</t>
  </si>
  <si>
    <t>33.11.</t>
  </si>
  <si>
    <t>более 1000</t>
  </si>
  <si>
    <t>34.</t>
  </si>
  <si>
    <t>Отбор проб от партии семян, упакованных в мешки или пакеты, массой до 10 кг</t>
  </si>
  <si>
    <t>35.</t>
  </si>
  <si>
    <t>Отбор проб от насыпи семян с массой партии в центнерах:</t>
  </si>
  <si>
    <t>35.1.</t>
  </si>
  <si>
    <t>до 250</t>
  </si>
  <si>
    <t>35.2.</t>
  </si>
  <si>
    <t>более 250</t>
  </si>
  <si>
    <t>36.</t>
  </si>
  <si>
    <t>Отбор проб посадочного материала</t>
  </si>
  <si>
    <t>партия</t>
  </si>
  <si>
    <t>37.</t>
  </si>
  <si>
    <t>Оформление протокола испытаний</t>
  </si>
  <si>
    <t>1 экз.</t>
  </si>
  <si>
    <t xml:space="preserve">2. Определение качества посадочного материала </t>
  </si>
  <si>
    <t>№                   п/п</t>
  </si>
  <si>
    <t>Вид работы</t>
  </si>
  <si>
    <t>Ед. измерения</t>
  </si>
  <si>
    <t>Посадочный материал плодовых, ягодных культур и винограда</t>
  </si>
  <si>
    <t>семена</t>
  </si>
  <si>
    <t>Рассада земляники</t>
  </si>
  <si>
    <t>Посадочный материал цветочных культур</t>
  </si>
  <si>
    <t>Посадочный материал деревьев и кустарников</t>
  </si>
  <si>
    <t xml:space="preserve">При размере партии посадочного материала менее 50 штук стоимость исследования снижается на 50%                                                                    </t>
  </si>
  <si>
    <t>добавлено</t>
  </si>
  <si>
    <t>3. Апробация посадочного материала</t>
  </si>
  <si>
    <t>№                              п/п</t>
  </si>
  <si>
    <t>Саженцы  семечковых и косточковых культур</t>
  </si>
  <si>
    <t xml:space="preserve"> 0,1 га и менее</t>
  </si>
  <si>
    <t>Саженцы  ягодных культур</t>
  </si>
  <si>
    <t>0,1 га и менее</t>
  </si>
  <si>
    <t>Маточники клоновых подвоев плодовых культур</t>
  </si>
  <si>
    <t>Маточно-черенковые насаждения семечковых и косточковых культур</t>
  </si>
  <si>
    <t xml:space="preserve">  0,1 га и менее</t>
  </si>
  <si>
    <t>Маточные насаждения  ягодных культур</t>
  </si>
  <si>
    <t>Виноградная школка</t>
  </si>
  <si>
    <t>Цветочные и  декоративные культуры</t>
  </si>
  <si>
    <t>0,5 га и менее</t>
  </si>
  <si>
    <t xml:space="preserve">  4. Апробация сортовых посевов</t>
  </si>
  <si>
    <t>Площадь апробированного участка</t>
  </si>
  <si>
    <t>НДС 20%,   (руб)</t>
  </si>
  <si>
    <t>Озимая и яровая пшеница и ячмень, тритикале                                                                     - репродукционные посевы</t>
  </si>
  <si>
    <t>до 20 га</t>
  </si>
  <si>
    <t>поле</t>
  </si>
  <si>
    <t>от 21 до 60 га</t>
  </si>
  <si>
    <t>от 61 до 200 га</t>
  </si>
  <si>
    <t>от 201 до 450 га</t>
  </si>
  <si>
    <t>Озимая и яровая пшеница и ячмень                                                                          -элитные посевы</t>
  </si>
  <si>
    <t xml:space="preserve">от 21 до 60 га </t>
  </si>
  <si>
    <t>Овес - репродукционные посевы</t>
  </si>
  <si>
    <t>Овес - элитные посевы</t>
  </si>
  <si>
    <t>Озимая рожь                                                 - репродукционные посевы</t>
  </si>
  <si>
    <t>от 21 до 80 га</t>
  </si>
  <si>
    <t>от 81 до 200 га</t>
  </si>
  <si>
    <t>Озимая рожь - элитные посевы</t>
  </si>
  <si>
    <t>до 50 га</t>
  </si>
  <si>
    <t>от 51 до 200 га</t>
  </si>
  <si>
    <t>Просо, гречиха -  репродукционные посевы</t>
  </si>
  <si>
    <t>от 21 до 100 га</t>
  </si>
  <si>
    <t>от 101 до 200 га</t>
  </si>
  <si>
    <t>от 201 до 350 га</t>
  </si>
  <si>
    <t>Просо, гречиха -  элитные посевы</t>
  </si>
  <si>
    <t>Вика, однолетние и многолетние травы                                                          -  репродукционные посевы</t>
  </si>
  <si>
    <t>от 21 до 50 га</t>
  </si>
  <si>
    <t>от 51  до 100 га</t>
  </si>
  <si>
    <t>Вика, однолетние и многолетние травы                                                          -  элитные посевы</t>
  </si>
  <si>
    <t>Горох, нут -  репродукционные посевы</t>
  </si>
  <si>
    <t>от 61 до 180 га</t>
  </si>
  <si>
    <t>от 181 до 200 га</t>
  </si>
  <si>
    <t>Горох, нут -  элитные посевы</t>
  </si>
  <si>
    <t>Масличные культуры   -                 репродукционные посевы</t>
  </si>
  <si>
    <t>от 21  до  60 га</t>
  </si>
  <si>
    <t>от  61 до 200 га</t>
  </si>
  <si>
    <t>более 200</t>
  </si>
  <si>
    <t>Масличные культуры   -                 элитные посевы</t>
  </si>
  <si>
    <t>Овощные и бахчевые культуры</t>
  </si>
  <si>
    <t>Картофель</t>
  </si>
  <si>
    <t>до 5 га</t>
  </si>
  <si>
    <t>300 кустов/15 проб</t>
  </si>
  <si>
    <t>до 10 га</t>
  </si>
  <si>
    <t>400 кустов/20 проб</t>
  </si>
  <si>
    <t>до 15 га</t>
  </si>
  <si>
    <t>500 кустов/25 проб</t>
  </si>
  <si>
    <t>более 15 га</t>
  </si>
  <si>
    <t>по 2 пробы на каждые 5 га сверх 15 га</t>
  </si>
  <si>
    <t>Регистрация  сортовых посевов</t>
  </si>
  <si>
    <t>до 450 га</t>
  </si>
  <si>
    <t>№ п/п</t>
  </si>
  <si>
    <t xml:space="preserve">Наименование </t>
  </si>
  <si>
    <t>1</t>
  </si>
  <si>
    <t>2</t>
  </si>
  <si>
    <t>3</t>
  </si>
  <si>
    <t>4</t>
  </si>
  <si>
    <t>Сертификация семян и посадочного материала</t>
  </si>
  <si>
    <t>1.1.</t>
  </si>
  <si>
    <t>сертификат соответствия</t>
  </si>
  <si>
    <t>шт.</t>
  </si>
  <si>
    <t>598,08</t>
  </si>
  <si>
    <t>1.2.</t>
  </si>
  <si>
    <t>сертификат соответствия сортовой принадлежности</t>
  </si>
  <si>
    <t>Заверение копий сертификатов</t>
  </si>
  <si>
    <t>199,36</t>
  </si>
  <si>
    <t>Оформление бланка сертификата</t>
  </si>
  <si>
    <t>Продление срока действия сертификата</t>
  </si>
  <si>
    <t>Зерновые культуры, пшеница, ячмень, тритикале, овёс, рожь</t>
  </si>
  <si>
    <r>
      <t xml:space="preserve">влажность                                        </t>
    </r>
    <r>
      <rPr>
        <sz val="7"/>
        <rFont val="Times New Roman"/>
        <family val="1"/>
        <charset val="204"/>
      </rPr>
      <t xml:space="preserve">   (воздушно-тепловой метод)</t>
    </r>
  </si>
  <si>
    <r>
      <t xml:space="preserve">чистота                            </t>
    </r>
    <r>
      <rPr>
        <sz val="7"/>
        <rFont val="Times New Roman"/>
        <family val="1"/>
        <charset val="204"/>
      </rPr>
      <t xml:space="preserve">  (гравиметрический (весовой) и визуальный методы)</t>
    </r>
  </si>
  <si>
    <r>
      <t xml:space="preserve">жизнеспособность                                                                   </t>
    </r>
    <r>
      <rPr>
        <sz val="7"/>
        <rFont val="Times New Roman"/>
        <family val="1"/>
        <charset val="204"/>
      </rPr>
      <t xml:space="preserve">    (тетразольно-топографический метод)</t>
    </r>
  </si>
  <si>
    <r>
      <t xml:space="preserve">масса 1000 семян                                                                 </t>
    </r>
    <r>
      <rPr>
        <sz val="7"/>
        <rFont val="Times New Roman"/>
        <family val="1"/>
        <charset val="204"/>
      </rPr>
      <t xml:space="preserve">   (гравиметрический (весовой) метод)</t>
    </r>
  </si>
  <si>
    <t>определение семян других видов</t>
  </si>
  <si>
    <t>Кукуруза</t>
  </si>
  <si>
    <r>
      <t xml:space="preserve">влажность                                         </t>
    </r>
    <r>
      <rPr>
        <sz val="7"/>
        <rFont val="Times New Roman"/>
        <family val="1"/>
        <charset val="204"/>
      </rPr>
      <t xml:space="preserve">  (воздушно-тепловой метод)</t>
    </r>
  </si>
  <si>
    <r>
      <t xml:space="preserve">чистота                             </t>
    </r>
    <r>
      <rPr>
        <sz val="7"/>
        <rFont val="Times New Roman"/>
        <family val="1"/>
        <charset val="204"/>
      </rPr>
      <t xml:space="preserve"> (гравиметрический (весовой) и визуальный методы)</t>
    </r>
  </si>
  <si>
    <r>
      <t xml:space="preserve">жизнеспособность                                                                      </t>
    </r>
    <r>
      <rPr>
        <sz val="7"/>
        <rFont val="Times New Roman"/>
        <family val="1"/>
        <charset val="204"/>
      </rPr>
      <t xml:space="preserve"> (тетразольно-топографический метод)</t>
    </r>
  </si>
  <si>
    <r>
      <t xml:space="preserve">масса 1000 семян                                                                </t>
    </r>
    <r>
      <rPr>
        <sz val="8"/>
        <rFont val="Times New Roman"/>
        <family val="1"/>
        <charset val="204"/>
      </rPr>
      <t xml:space="preserve">    (гравиметрический (весовой) метод)</t>
    </r>
  </si>
  <si>
    <t>Подсолнечник</t>
  </si>
  <si>
    <t>№                        п/п</t>
  </si>
  <si>
    <t>Проведение сертификации по ISTA</t>
  </si>
  <si>
    <t>1 сертификат</t>
  </si>
  <si>
    <t>5</t>
  </si>
  <si>
    <t>Отбор проб по ISTA от партии семян</t>
  </si>
  <si>
    <r>
      <t>Определение ГМО  по промотору 35S,FMV/терминатору NOS</t>
    </r>
    <r>
      <rPr>
        <sz val="10"/>
        <rFont val="Times New Roman"/>
        <family val="1"/>
        <charset val="204"/>
      </rPr>
      <t>(качественный м-д)</t>
    </r>
  </si>
  <si>
    <t>исследование</t>
  </si>
  <si>
    <t>2 .</t>
  </si>
  <si>
    <t>Обнаружение ГМ растений по наличию генов: pat, bat и EPSPS</t>
  </si>
  <si>
    <r>
      <t xml:space="preserve">Определение ГМО  </t>
    </r>
    <r>
      <rPr>
        <sz val="11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(количественный м-д)</t>
    </r>
  </si>
  <si>
    <t>Определение  сортовой принадлежности и сортовой чистоты семян сельскохозяйственных культур методом электрофореза запасных белков</t>
  </si>
  <si>
    <t>Пищевая продукция и продовольственное сырьё, корма и комбикормовое сырьё (безопасность)</t>
  </si>
  <si>
    <t>Химико-токсикологические показатели</t>
  </si>
  <si>
    <t>Определение содержания свинца, кадмия по ГОСТ методом ААС</t>
  </si>
  <si>
    <t>анализ</t>
  </si>
  <si>
    <t>Определение содержания мышьяка, ртути по ГОСТ (фотометрический метод)</t>
  </si>
  <si>
    <t>Определение токсичных элементов методом ААС:</t>
  </si>
  <si>
    <t>3.1</t>
  </si>
  <si>
    <t>Свинец</t>
  </si>
  <si>
    <t>3.2</t>
  </si>
  <si>
    <t>Кадмий</t>
  </si>
  <si>
    <t>3.3</t>
  </si>
  <si>
    <t>Медь</t>
  </si>
  <si>
    <t>3.4</t>
  </si>
  <si>
    <t>Цинк</t>
  </si>
  <si>
    <t>3.5</t>
  </si>
  <si>
    <t xml:space="preserve">Ртуть </t>
  </si>
  <si>
    <t>3.6</t>
  </si>
  <si>
    <t>Мышьяк</t>
  </si>
  <si>
    <t>3.7</t>
  </si>
  <si>
    <t xml:space="preserve">Железо   </t>
  </si>
  <si>
    <t>3.8</t>
  </si>
  <si>
    <t>Хром</t>
  </si>
  <si>
    <t>Определение содержания микотоксинов методом ТСХ</t>
  </si>
  <si>
    <t>Определение содержания микотоксинов методом ВЭЖХ</t>
  </si>
  <si>
    <t>6</t>
  </si>
  <si>
    <t>Определение содержания микотоксинов методом ИФА</t>
  </si>
  <si>
    <t>6.1.</t>
  </si>
  <si>
    <t xml:space="preserve">Определение Афлатоксин М1 </t>
  </si>
  <si>
    <t>6.2.</t>
  </si>
  <si>
    <t>Определение  Т2 токсин</t>
  </si>
  <si>
    <t>6.3</t>
  </si>
  <si>
    <t>Определение Охратоксин А</t>
  </si>
  <si>
    <t>6.4</t>
  </si>
  <si>
    <t>Определение  Дезоксиниваленола (ДОН)</t>
  </si>
  <si>
    <t>6.5</t>
  </si>
  <si>
    <t>Определение  Зеараленона</t>
  </si>
  <si>
    <t>6.6</t>
  </si>
  <si>
    <t xml:space="preserve">Определение Афлатоксин В1 </t>
  </si>
  <si>
    <t>7</t>
  </si>
  <si>
    <t>Определение суммы афлатоксинов В1,В2,G1,G2</t>
  </si>
  <si>
    <t>8</t>
  </si>
  <si>
    <t>8.1</t>
  </si>
  <si>
    <t>Определение афлатоксина В1</t>
  </si>
  <si>
    <t>8.2</t>
  </si>
  <si>
    <t>Определение  зеараленона</t>
  </si>
  <si>
    <t>8.3</t>
  </si>
  <si>
    <t>Определение  дезоксиниваленола (ДОН)</t>
  </si>
  <si>
    <t>8.4</t>
  </si>
  <si>
    <t>Определение охратоксина А</t>
  </si>
  <si>
    <t>8.5</t>
  </si>
  <si>
    <t>Определение Т-2 токсина</t>
  </si>
  <si>
    <t>8.6</t>
  </si>
  <si>
    <t xml:space="preserve">Определение афлатоксина M1 </t>
  </si>
  <si>
    <t>8.7</t>
  </si>
  <si>
    <t>Определение патулина</t>
  </si>
  <si>
    <t>9</t>
  </si>
  <si>
    <t>Определение содержания пестицидов методом ТСХ</t>
  </si>
  <si>
    <t>10</t>
  </si>
  <si>
    <t>Определение остаточного количества пестицидов методом ГХ</t>
  </si>
  <si>
    <t>10.1</t>
  </si>
  <si>
    <t>Хлорорганические пестициды(ГХЦГ, ДДТ и др)</t>
  </si>
  <si>
    <t>10.2</t>
  </si>
  <si>
    <t>Фосфорорганические пестициды(хлорпирифос, диметоат, дазинон,фозалон и др)</t>
  </si>
  <si>
    <t>10.3</t>
  </si>
  <si>
    <t xml:space="preserve">Синтетические пиретроиды(дельтаметрин, циперметрин, лямбда-цигалатрин и др) </t>
  </si>
  <si>
    <t>10.4</t>
  </si>
  <si>
    <t xml:space="preserve">Карбаматы(тирам) </t>
  </si>
  <si>
    <t>11</t>
  </si>
  <si>
    <t>Определение ПХБ (полихлорированные бифенилы) методом ГЖХ</t>
  </si>
  <si>
    <t>12</t>
  </si>
  <si>
    <t>2,4 - Д кислота, её соли и эфиры методом ГЖХ</t>
  </si>
  <si>
    <t>13</t>
  </si>
  <si>
    <t>Определение содержания пестицидов методом ГЖХ</t>
  </si>
  <si>
    <t>14</t>
  </si>
  <si>
    <t>Ртутьорганические пестициды методом ГЖХ</t>
  </si>
  <si>
    <t>15</t>
  </si>
  <si>
    <t>Определение бенз(а)пирена методом ВЭЖХ</t>
  </si>
  <si>
    <t>16</t>
  </si>
  <si>
    <t>17</t>
  </si>
  <si>
    <t>Определение радионуклидов (радиоспектрометрический метод)</t>
  </si>
  <si>
    <t>17.1</t>
  </si>
  <si>
    <t>Определение  содержания стронция - 90 (Sr 90)</t>
  </si>
  <si>
    <t>17.2</t>
  </si>
  <si>
    <t xml:space="preserve">Определение содержания цезия - 137 (Cs 137)  </t>
  </si>
  <si>
    <t>18</t>
  </si>
  <si>
    <t>Определение гормонов( стильбенов, стероидов , бета-агонистов и др.) методом ИФА</t>
  </si>
  <si>
    <t>18.1</t>
  </si>
  <si>
    <t>Диэтилстильбестрол</t>
  </si>
  <si>
    <t>18.2</t>
  </si>
  <si>
    <t>Тестостерон</t>
  </si>
  <si>
    <t>18.3</t>
  </si>
  <si>
    <t>β - агонисты</t>
  </si>
  <si>
    <t>18.4</t>
  </si>
  <si>
    <t>Кленбутерол</t>
  </si>
  <si>
    <t>18.5</t>
  </si>
  <si>
    <t>Меленгестрол ацетат</t>
  </si>
  <si>
    <t>18.6</t>
  </si>
  <si>
    <t>18.7</t>
  </si>
  <si>
    <t>Зеранол</t>
  </si>
  <si>
    <t>18.8</t>
  </si>
  <si>
    <t>19-нортестостерон</t>
  </si>
  <si>
    <t>ДОБАВИЛА</t>
  </si>
  <si>
    <t>18.9</t>
  </si>
  <si>
    <t>Тренболон</t>
  </si>
  <si>
    <t>18.10</t>
  </si>
  <si>
    <t>Этинилэстрадиол</t>
  </si>
  <si>
    <t>18.11</t>
  </si>
  <si>
    <t>17-бета-эстрадиол</t>
  </si>
  <si>
    <t>18.12</t>
  </si>
  <si>
    <t>Метилтестостерон</t>
  </si>
  <si>
    <t>19</t>
  </si>
  <si>
    <t>Определение антибиотиков: бацитрацин, пеницилин  и др (чашечный метод)</t>
  </si>
  <si>
    <t>20</t>
  </si>
  <si>
    <t>Определение антибиотиков (премитест, дельватест)  экспресс-метод</t>
  </si>
  <si>
    <t>21</t>
  </si>
  <si>
    <t>Определение антибиотиков (методом ИФА):</t>
  </si>
  <si>
    <t>21.1</t>
  </si>
  <si>
    <t>Хлорамфеникол (Амфениколы)</t>
  </si>
  <si>
    <t>21.2</t>
  </si>
  <si>
    <t xml:space="preserve"> Стрептомицин (Аминогликозиды)</t>
  </si>
  <si>
    <t>21.3</t>
  </si>
  <si>
    <t xml:space="preserve"> Цефалоспорины</t>
  </si>
  <si>
    <t>21.4</t>
  </si>
  <si>
    <t>Определение антибиотиков (тетрациклиновой гр-пы, методом ИФА)</t>
  </si>
  <si>
    <t>22</t>
  </si>
  <si>
    <t>Определение антибиотиков (остатков лекарственных веществ) методом ИФА с помощью тест-системы RIDASCREEN и др</t>
  </si>
  <si>
    <t>22.1</t>
  </si>
  <si>
    <t>Сульфаниламиды</t>
  </si>
  <si>
    <t>22.2</t>
  </si>
  <si>
    <t>Хинолоны</t>
  </si>
  <si>
    <t>22.3</t>
  </si>
  <si>
    <t>Бацитрацин</t>
  </si>
  <si>
    <t>22.4</t>
  </si>
  <si>
    <t>Пенициллины</t>
  </si>
  <si>
    <t>22.5</t>
  </si>
  <si>
    <t xml:space="preserve">Ангельминтики </t>
  </si>
  <si>
    <t>22.6</t>
  </si>
  <si>
    <t>Кокцидиостатики</t>
  </si>
  <si>
    <t>22.7</t>
  </si>
  <si>
    <t>Малахитовый зеленый</t>
  </si>
  <si>
    <t>Есть в ПМ с расшифровкой (зерано) он выше уже был</t>
  </si>
  <si>
    <t>22.8</t>
  </si>
  <si>
    <t>Нитроимидазолы</t>
  </si>
  <si>
    <t>22.9</t>
  </si>
  <si>
    <t>Тилозины</t>
  </si>
  <si>
    <t>22.10</t>
  </si>
  <si>
    <t>Определение нитрофуранов (АОЗ)</t>
  </si>
  <si>
    <t>22.11</t>
  </si>
  <si>
    <t>Определение нитрофуранов (АМОЗ)</t>
  </si>
  <si>
    <t>22.12</t>
  </si>
  <si>
    <t>Определение нитрофуранов (СЭМ, АGD)</t>
  </si>
  <si>
    <t>22.13</t>
  </si>
  <si>
    <t>Амфениколы</t>
  </si>
  <si>
    <t>22.14</t>
  </si>
  <si>
    <t>Аминогликозиды</t>
  </si>
  <si>
    <t>22.15</t>
  </si>
  <si>
    <t>Лактоны резорциловой кислоты</t>
  </si>
  <si>
    <t>23</t>
  </si>
  <si>
    <t>23.1</t>
  </si>
  <si>
    <t xml:space="preserve">Определение аминогликозидов </t>
  </si>
  <si>
    <t>23.2</t>
  </si>
  <si>
    <t>Определение пенициллинов</t>
  </si>
  <si>
    <t>23.3</t>
  </si>
  <si>
    <t xml:space="preserve">Определение  амфениколов </t>
  </si>
  <si>
    <t>23.4</t>
  </si>
  <si>
    <t xml:space="preserve">Определение антибиотиков тетрациклиновой  группы </t>
  </si>
  <si>
    <t>23.5</t>
  </si>
  <si>
    <t xml:space="preserve">Определение нитрофуранов </t>
  </si>
  <si>
    <t>23.6</t>
  </si>
  <si>
    <t>Определение сульфаниламидов</t>
  </si>
  <si>
    <t>23.7</t>
  </si>
  <si>
    <t xml:space="preserve">Определение нитроимидазолов </t>
  </si>
  <si>
    <t>23.8</t>
  </si>
  <si>
    <t>Определение кокцидиостатиков</t>
  </si>
  <si>
    <t>23.9</t>
  </si>
  <si>
    <t>Определение хинолонов</t>
  </si>
  <si>
    <t>23.10</t>
  </si>
  <si>
    <t>Есть в ПМ с расшифровкой макролиды (тилозин) он выше уже был но по цене 1641,31</t>
  </si>
  <si>
    <t>23.11</t>
  </si>
  <si>
    <t>Определение бацитрацина (цинкбацитрацин)</t>
  </si>
  <si>
    <t>Ввели 2 новых показателя</t>
  </si>
  <si>
    <t>23.12</t>
  </si>
  <si>
    <t>Определение бацитрацина (Полипептидные антибиотики)</t>
  </si>
  <si>
    <t>24</t>
  </si>
  <si>
    <t>Гистологический анализ  (методом микроскопии)</t>
  </si>
  <si>
    <t>изменили</t>
  </si>
  <si>
    <t>25</t>
  </si>
  <si>
    <t>Жирно-кислотный состав  методом ГЖХ</t>
  </si>
  <si>
    <t>26</t>
  </si>
  <si>
    <t>Стерины методом ГЖХ</t>
  </si>
  <si>
    <t>27</t>
  </si>
  <si>
    <t>Определение содержания сухого молока в продуктах питания методом ИФА</t>
  </si>
  <si>
    <t>28</t>
  </si>
  <si>
    <t>Определение содержания консервантов методом ВЭЖХ</t>
  </si>
  <si>
    <t>новый показатель</t>
  </si>
  <si>
    <t>ПЦР- исследования в пищевой продукции, кормах</t>
  </si>
  <si>
    <t>29</t>
  </si>
  <si>
    <r>
      <t>Определение ГМО (ДНК растений)</t>
    </r>
    <r>
      <rPr>
        <sz val="11"/>
        <rFont val="Times New Roman"/>
        <family val="1"/>
        <charset val="204"/>
      </rPr>
      <t xml:space="preserve"> (качественный м-д)</t>
    </r>
  </si>
  <si>
    <t>30</t>
  </si>
  <si>
    <t>Определение ДНК растений (качественный м-д)</t>
  </si>
  <si>
    <t>31</t>
  </si>
  <si>
    <r>
      <t>Определение ГМО</t>
    </r>
    <r>
      <rPr>
        <sz val="9"/>
        <rFont val="Times New Roman"/>
        <family val="1"/>
        <charset val="204"/>
      </rPr>
      <t xml:space="preserve"> (количественный м-д)</t>
    </r>
  </si>
  <si>
    <t>31.1</t>
  </si>
  <si>
    <t>Количественное определение ГМ сои линии A 2704-12</t>
  </si>
  <si>
    <t>31.2</t>
  </si>
  <si>
    <t>Количественное определение ГМ сои линии GTS 40-3-2</t>
  </si>
  <si>
    <t>31.3</t>
  </si>
  <si>
    <t>Количественное определение ГМ сои линии A 5547-127</t>
  </si>
  <si>
    <t>31.4</t>
  </si>
  <si>
    <t>Количественное определение ГМ сои линии  BPS-CV-127-9</t>
  </si>
  <si>
    <t>31.5</t>
  </si>
  <si>
    <t>Количественное определение ГМ сои линии  FG 72</t>
  </si>
  <si>
    <t>31.6</t>
  </si>
  <si>
    <t>Количественное определение ГМ сои линии  SYHTOH2</t>
  </si>
  <si>
    <t>31.7</t>
  </si>
  <si>
    <t>Количественное определение ГМ сои линии  MON 89788</t>
  </si>
  <si>
    <t>31.8</t>
  </si>
  <si>
    <t>Количественное определение ГМ сои линии  MON 87701</t>
  </si>
  <si>
    <t>32</t>
  </si>
  <si>
    <t>Идентификация ГМО (определение линий ГМО)</t>
  </si>
  <si>
    <t>32.1</t>
  </si>
  <si>
    <t>32.2</t>
  </si>
  <si>
    <t>33</t>
  </si>
  <si>
    <t xml:space="preserve">Определение  видовой принадлежности тканей жвачных (говядины, баранины) в пищевых продуктах и кормах методом ПЦР </t>
  </si>
  <si>
    <t>34</t>
  </si>
  <si>
    <t xml:space="preserve">Определение  видовой принадлежности тканей  (курицы, индейки) в пищевых продуктах и кормах методом ПЦР </t>
  </si>
  <si>
    <t>35</t>
  </si>
  <si>
    <t xml:space="preserve">Определение  видовой принадлежности тканей  (свинины) в пищевых продуктах и кормах методом ПЦР </t>
  </si>
  <si>
    <t>внесли</t>
  </si>
  <si>
    <t>36</t>
  </si>
  <si>
    <t xml:space="preserve">Определение  видовой принадлежности рыб семейства лососевых (горбуша, кета, нерка) методом ПЦР </t>
  </si>
  <si>
    <t>Микробиологические показатели:</t>
  </si>
  <si>
    <t>37</t>
  </si>
  <si>
    <t>Определение КМАФАнМ (Количество мезофильных аэробных и факультативных микроорганизмов) классический метод</t>
  </si>
  <si>
    <t>38</t>
  </si>
  <si>
    <t>Определение БГКП- бактерии группы кишечных палочек (колиформы) классический метод</t>
  </si>
  <si>
    <t>39</t>
  </si>
  <si>
    <r>
      <t>Escherichia coli</t>
    </r>
    <r>
      <rPr>
        <i/>
        <sz val="12"/>
        <rFont val="Times New Roman"/>
        <family val="1"/>
        <charset val="204"/>
      </rPr>
      <t xml:space="preserve"> </t>
    </r>
    <r>
      <rPr>
        <i/>
        <sz val="10"/>
        <rFont val="Times New Roman"/>
        <family val="1"/>
        <charset val="204"/>
      </rPr>
      <t>микроскопический метод</t>
    </r>
  </si>
  <si>
    <t>40</t>
  </si>
  <si>
    <t>Определение  S. Aureus                                                                                      (классический метод)</t>
  </si>
  <si>
    <t>41</t>
  </si>
  <si>
    <t>Определение  S. Aureus                                                                                      (экспресс-метод)</t>
  </si>
  <si>
    <t>42</t>
  </si>
  <si>
    <r>
      <t xml:space="preserve">Бактерии рода Proteus </t>
    </r>
    <r>
      <rPr>
        <i/>
        <sz val="9"/>
        <rFont val="Times New Roman"/>
        <family val="1"/>
        <charset val="204"/>
      </rPr>
      <t>микроскопический метод</t>
    </r>
  </si>
  <si>
    <t>43</t>
  </si>
  <si>
    <r>
      <t xml:space="preserve">Определение сульфитредуцирующих клостридий </t>
    </r>
    <r>
      <rPr>
        <i/>
        <sz val="9"/>
        <rFont val="Times New Roman"/>
        <family val="1"/>
        <charset val="204"/>
      </rPr>
      <t>микроскопический метод</t>
    </r>
  </si>
  <si>
    <t>44</t>
  </si>
  <si>
    <r>
      <t xml:space="preserve">Определение бактерии рода Enterococcus </t>
    </r>
    <r>
      <rPr>
        <i/>
        <sz val="9"/>
        <rFont val="Times New Roman"/>
        <family val="1"/>
        <charset val="204"/>
      </rPr>
      <t>микроскопический метод</t>
    </r>
  </si>
  <si>
    <t>45</t>
  </si>
  <si>
    <r>
      <t xml:space="preserve">B. Cereus </t>
    </r>
    <r>
      <rPr>
        <i/>
        <sz val="10"/>
        <rFont val="Times New Roman"/>
        <family val="1"/>
        <charset val="204"/>
      </rPr>
      <t>микроскопический метод</t>
    </r>
  </si>
  <si>
    <t>46</t>
  </si>
  <si>
    <r>
      <t xml:space="preserve">Плесени, дрожжи </t>
    </r>
    <r>
      <rPr>
        <i/>
        <sz val="8"/>
        <rFont val="Times New Roman"/>
        <family val="1"/>
        <charset val="204"/>
      </rPr>
      <t>микроскопический метод</t>
    </r>
  </si>
  <si>
    <t>47</t>
  </si>
  <si>
    <t>Определение сальмонеллы (классический метод)</t>
  </si>
  <si>
    <t>48</t>
  </si>
  <si>
    <t>Определение сальмонеллы экспресс-методом</t>
  </si>
  <si>
    <t>49</t>
  </si>
  <si>
    <t>Определение листерии (классический метод)</t>
  </si>
  <si>
    <t>50</t>
  </si>
  <si>
    <t>Определение листерии экспресс-методом</t>
  </si>
  <si>
    <t>51</t>
  </si>
  <si>
    <r>
      <t xml:space="preserve">Определение V.parahaemolyticus </t>
    </r>
    <r>
      <rPr>
        <i/>
        <sz val="11"/>
        <rFont val="Times New Roman"/>
        <family val="1"/>
        <charset val="204"/>
      </rPr>
      <t>классический метод</t>
    </r>
  </si>
  <si>
    <t>52</t>
  </si>
  <si>
    <r>
      <t xml:space="preserve">Определение соматических клеток </t>
    </r>
    <r>
      <rPr>
        <i/>
        <sz val="11"/>
        <rFont val="Times New Roman"/>
        <family val="1"/>
        <charset val="204"/>
      </rPr>
      <t>микроскопический метод</t>
    </r>
  </si>
  <si>
    <t>53</t>
  </si>
  <si>
    <r>
      <t xml:space="preserve">Определение молочнокислых микроорганизмов в молочных продуктах </t>
    </r>
    <r>
      <rPr>
        <i/>
        <sz val="11"/>
        <rFont val="Times New Roman"/>
        <family val="1"/>
        <charset val="204"/>
      </rPr>
      <t>микроскопический метод</t>
    </r>
  </si>
  <si>
    <t>54</t>
  </si>
  <si>
    <r>
      <t xml:space="preserve">Pseudomonas aeruginosa </t>
    </r>
    <r>
      <rPr>
        <i/>
        <sz val="11"/>
        <rFont val="Times New Roman"/>
        <family val="1"/>
        <charset val="204"/>
      </rPr>
      <t>микроскопический метод</t>
    </r>
  </si>
  <si>
    <t>55</t>
  </si>
  <si>
    <r>
      <t xml:space="preserve">Бактерии семейства Enterobacteriaceae </t>
    </r>
    <r>
      <rPr>
        <i/>
        <sz val="11"/>
        <rFont val="Times New Roman"/>
        <family val="1"/>
        <charset val="204"/>
      </rPr>
      <t>микроскопический метод</t>
    </r>
  </si>
  <si>
    <t>56</t>
  </si>
  <si>
    <r>
      <t xml:space="preserve">Cl. Perfringens </t>
    </r>
    <r>
      <rPr>
        <i/>
        <sz val="9"/>
        <rFont val="Times New Roman"/>
        <family val="1"/>
        <charset val="204"/>
      </rPr>
      <t>микроскопический метод</t>
    </r>
  </si>
  <si>
    <t>57</t>
  </si>
  <si>
    <r>
      <t xml:space="preserve">Clostridium botulinum </t>
    </r>
    <r>
      <rPr>
        <i/>
        <sz val="8"/>
        <rFont val="Times New Roman"/>
        <family val="1"/>
        <charset val="204"/>
      </rPr>
      <t>микроскопический метод</t>
    </r>
  </si>
  <si>
    <t>58</t>
  </si>
  <si>
    <r>
      <t xml:space="preserve">Определение промышленной стерильности </t>
    </r>
    <r>
      <rPr>
        <i/>
        <sz val="8"/>
        <rFont val="Times New Roman"/>
        <family val="1"/>
        <charset val="204"/>
      </rPr>
      <t>микроскопический метод</t>
    </r>
  </si>
  <si>
    <t>59</t>
  </si>
  <si>
    <r>
      <t xml:space="preserve">Паразитарная чистота (рыба, мясо и др.) </t>
    </r>
    <r>
      <rPr>
        <i/>
        <sz val="11"/>
        <rFont val="Times New Roman"/>
        <family val="1"/>
        <charset val="204"/>
      </rPr>
      <t>микроскопический метод</t>
    </r>
  </si>
  <si>
    <t>60</t>
  </si>
  <si>
    <r>
      <t xml:space="preserve">Яйца, личинки гельминтов, цисты кишечных патогенных простейших </t>
    </r>
    <r>
      <rPr>
        <i/>
        <sz val="11"/>
        <rFont val="Times New Roman"/>
        <family val="1"/>
        <charset val="204"/>
      </rPr>
      <t>микроскопический метод</t>
    </r>
  </si>
  <si>
    <t>61</t>
  </si>
  <si>
    <t>Цитробактероз (бактериологический метод)</t>
  </si>
  <si>
    <t>Новые внесли от 19.08.2019г.</t>
  </si>
  <si>
    <t>62</t>
  </si>
  <si>
    <t>Иерсиниоз (бактериологический метод)</t>
  </si>
  <si>
    <t xml:space="preserve">                                            Исследование мяса и мясных продуктов</t>
  </si>
  <si>
    <t xml:space="preserve">Органолептические исследования  (цвет, вкус и запах, внешний вид, масса нетто) визуальный м-д </t>
  </si>
  <si>
    <r>
      <t xml:space="preserve">Определение рН </t>
    </r>
    <r>
      <rPr>
        <i/>
        <sz val="9"/>
        <rFont val="Times New Roman"/>
        <family val="1"/>
        <charset val="204"/>
      </rPr>
      <t>ионометрический метод</t>
    </r>
  </si>
  <si>
    <t>1.3.</t>
  </si>
  <si>
    <r>
      <t xml:space="preserve">Реакция на пероксидазу                                               </t>
    </r>
    <r>
      <rPr>
        <sz val="7"/>
        <rFont val="Times New Roman"/>
        <family val="1"/>
        <charset val="204"/>
      </rPr>
      <t xml:space="preserve">  </t>
    </r>
    <r>
      <rPr>
        <sz val="8"/>
        <rFont val="Times New Roman"/>
        <family val="1"/>
        <charset val="204"/>
      </rPr>
      <t xml:space="preserve"> (физико-химический м-д)</t>
    </r>
  </si>
  <si>
    <t>1.4.</t>
  </si>
  <si>
    <r>
      <t xml:space="preserve">Формольная реакция  </t>
    </r>
    <r>
      <rPr>
        <sz val="8"/>
        <rFont val="Times New Roman"/>
        <family val="1"/>
        <charset val="204"/>
      </rPr>
      <t>(физико-химический м-д)</t>
    </r>
  </si>
  <si>
    <t>1.5.</t>
  </si>
  <si>
    <r>
      <t>Реакция с сернокислой медью</t>
    </r>
    <r>
      <rPr>
        <sz val="8"/>
        <rFont val="Times New Roman"/>
        <family val="1"/>
        <charset val="204"/>
      </rPr>
      <t xml:space="preserve">                           (физико-химический м-д)</t>
    </r>
  </si>
  <si>
    <t>1.6.</t>
  </si>
  <si>
    <r>
      <t xml:space="preserve">Проба варкой </t>
    </r>
    <r>
      <rPr>
        <sz val="8"/>
        <rFont val="Times New Roman"/>
        <family val="1"/>
        <charset val="204"/>
      </rPr>
      <t>(Органолептический)</t>
    </r>
  </si>
  <si>
    <t>Физико-химические показатели:</t>
  </si>
  <si>
    <t>1.7.</t>
  </si>
  <si>
    <r>
      <t xml:space="preserve">Массовая доля жира </t>
    </r>
    <r>
      <rPr>
        <sz val="8"/>
        <rFont val="Times New Roman"/>
        <family val="1"/>
        <charset val="204"/>
      </rPr>
      <t>(физико-химический м-д)</t>
    </r>
  </si>
  <si>
    <t>1.8.</t>
  </si>
  <si>
    <r>
      <t xml:space="preserve">Массовая доля белка </t>
    </r>
    <r>
      <rPr>
        <sz val="7"/>
        <rFont val="Times New Roman"/>
        <family val="1"/>
        <charset val="204"/>
      </rPr>
      <t xml:space="preserve">(физико-химический м-д) </t>
    </r>
  </si>
  <si>
    <t>1.9.</t>
  </si>
  <si>
    <r>
      <rPr>
        <sz val="11"/>
        <rFont val="Times New Roman"/>
        <family val="1"/>
        <charset val="204"/>
      </rPr>
      <t xml:space="preserve">Массовая доля крахмала </t>
    </r>
    <r>
      <rPr>
        <sz val="7"/>
        <rFont val="Times New Roman"/>
        <family val="1"/>
        <charset val="204"/>
      </rPr>
      <t>(физико-химический м-д)</t>
    </r>
  </si>
  <si>
    <t>1.10.</t>
  </si>
  <si>
    <r>
      <rPr>
        <sz val="11"/>
        <rFont val="Times New Roman"/>
        <family val="1"/>
        <charset val="204"/>
      </rPr>
      <t xml:space="preserve">Массовая доля фосфора </t>
    </r>
    <r>
      <rPr>
        <sz val="8"/>
        <rFont val="Times New Roman"/>
        <family val="1"/>
        <charset val="204"/>
      </rPr>
      <t>(физико-химический м-д)</t>
    </r>
  </si>
  <si>
    <t>1.11.</t>
  </si>
  <si>
    <r>
      <t xml:space="preserve">Массовая доля кислой фосфатазы </t>
    </r>
    <r>
      <rPr>
        <sz val="8"/>
        <rFont val="Times New Roman"/>
        <family val="1"/>
        <charset val="204"/>
      </rPr>
      <t>(физико-химический м-д)</t>
    </r>
  </si>
  <si>
    <t>1.12.</t>
  </si>
  <si>
    <r>
      <rPr>
        <sz val="11"/>
        <rFont val="Times New Roman"/>
        <family val="1"/>
        <charset val="204"/>
      </rPr>
      <t>Массовая доля нитрита</t>
    </r>
    <r>
      <rPr>
        <sz val="12"/>
        <rFont val="Times New Roman"/>
        <family val="1"/>
        <charset val="204"/>
      </rPr>
      <t xml:space="preserve"> </t>
    </r>
    <r>
      <rPr>
        <sz val="8"/>
        <rFont val="Times New Roman"/>
        <family val="1"/>
        <charset val="204"/>
      </rPr>
      <t>(физико-химический м-д)</t>
    </r>
  </si>
  <si>
    <t>1.13.</t>
  </si>
  <si>
    <r>
      <t xml:space="preserve">Массовая доля соли </t>
    </r>
    <r>
      <rPr>
        <sz val="8"/>
        <rFont val="Times New Roman"/>
        <family val="1"/>
        <charset val="204"/>
      </rPr>
      <t>(физико-химический м-д)</t>
    </r>
  </si>
  <si>
    <t>1.14.</t>
  </si>
  <si>
    <r>
      <t xml:space="preserve">Массовая доля сахара </t>
    </r>
    <r>
      <rPr>
        <sz val="8"/>
        <rFont val="Times New Roman"/>
        <family val="1"/>
        <charset val="204"/>
      </rPr>
      <t>(физико-химический м-д)</t>
    </r>
  </si>
  <si>
    <t>1.15.</t>
  </si>
  <si>
    <r>
      <t xml:space="preserve">Массовая доля влаги </t>
    </r>
    <r>
      <rPr>
        <sz val="8"/>
        <rFont val="Times New Roman"/>
        <family val="1"/>
        <charset val="204"/>
      </rPr>
      <t>(физико-химический м-д)</t>
    </r>
  </si>
  <si>
    <t>1.16.</t>
  </si>
  <si>
    <r>
      <rPr>
        <sz val="11"/>
        <rFont val="Times New Roman"/>
        <family val="1"/>
        <charset val="204"/>
      </rPr>
      <t xml:space="preserve">Массовая доля кальция </t>
    </r>
    <r>
      <rPr>
        <sz val="8"/>
        <rFont val="Times New Roman"/>
        <family val="1"/>
        <charset val="204"/>
      </rPr>
      <t>(физико-химический м-д)</t>
    </r>
  </si>
  <si>
    <t>1.17.</t>
  </si>
  <si>
    <r>
      <t xml:space="preserve">Массовая доля косных включений             </t>
    </r>
    <r>
      <rPr>
        <sz val="8"/>
        <rFont val="Times New Roman"/>
        <family val="1"/>
        <charset val="204"/>
      </rPr>
      <t>(физико-химический м-д)</t>
    </r>
  </si>
  <si>
    <t>1.18.</t>
  </si>
  <si>
    <r>
      <rPr>
        <sz val="11"/>
        <rFont val="Times New Roman"/>
        <family val="1"/>
        <charset val="204"/>
      </rPr>
      <t>Массовая доля начинки</t>
    </r>
    <r>
      <rPr>
        <sz val="12"/>
        <rFont val="Times New Roman"/>
        <family val="1"/>
        <charset val="204"/>
      </rPr>
      <t xml:space="preserve"> </t>
    </r>
    <r>
      <rPr>
        <sz val="8"/>
        <rFont val="Times New Roman"/>
        <family val="1"/>
        <charset val="204"/>
      </rPr>
      <t>(физико-химический м-д)</t>
    </r>
  </si>
  <si>
    <t>1.19.</t>
  </si>
  <si>
    <r>
      <t xml:space="preserve">Определение Трихинеллы (Trichinella spiralis) </t>
    </r>
    <r>
      <rPr>
        <i/>
        <sz val="10"/>
        <rFont val="Times New Roman"/>
        <family val="1"/>
        <charset val="204"/>
      </rPr>
      <t>микроскопический метод</t>
    </r>
  </si>
  <si>
    <t>1.20.</t>
  </si>
  <si>
    <r>
      <t xml:space="preserve">Определение массы одного изделия </t>
    </r>
    <r>
      <rPr>
        <sz val="8"/>
        <rFont val="Times New Roman"/>
        <family val="1"/>
        <charset val="204"/>
      </rPr>
      <t xml:space="preserve"> (физико-химический м-д)</t>
    </r>
  </si>
  <si>
    <t>1.21.</t>
  </si>
  <si>
    <r>
      <t xml:space="preserve">Толщина тестовой оболочки для полуфабрикатов  </t>
    </r>
    <r>
      <rPr>
        <sz val="8"/>
        <rFont val="Times New Roman"/>
        <family val="1"/>
        <charset val="204"/>
      </rPr>
      <t>(физико-химический м-д)</t>
    </r>
  </si>
  <si>
    <t>1.22.</t>
  </si>
  <si>
    <t>Массовая доля маринада                                       (физико-химический м-д)</t>
  </si>
  <si>
    <t>Исследования яиц и яичных продуктов</t>
  </si>
  <si>
    <t>2.1.</t>
  </si>
  <si>
    <t xml:space="preserve">Органолептические исследования (цвет, вкус и запах, внешний вид, масса нетто) визуальный м-д </t>
  </si>
  <si>
    <t>2.2.</t>
  </si>
  <si>
    <r>
      <t xml:space="preserve">Овоскопия </t>
    </r>
    <r>
      <rPr>
        <sz val="8"/>
        <rFont val="Times New Roman"/>
        <family val="1"/>
        <charset val="204"/>
      </rPr>
      <t>(Органолептический)</t>
    </r>
  </si>
  <si>
    <t>2.3.</t>
  </si>
  <si>
    <r>
      <t>Массовая доля влаги</t>
    </r>
    <r>
      <rPr>
        <sz val="8"/>
        <rFont val="Times New Roman"/>
        <family val="1"/>
        <charset val="204"/>
      </rPr>
      <t xml:space="preserve"> (физико-химический м-д)</t>
    </r>
  </si>
  <si>
    <t>2.4.</t>
  </si>
  <si>
    <r>
      <t xml:space="preserve">Массовая доля свободных кислот                     </t>
    </r>
    <r>
      <rPr>
        <sz val="8"/>
        <rFont val="Times New Roman"/>
        <family val="1"/>
        <charset val="204"/>
      </rPr>
      <t xml:space="preserve">  (физико-химический м-д)</t>
    </r>
  </si>
  <si>
    <t>2.5.</t>
  </si>
  <si>
    <r>
      <t xml:space="preserve">Массовая  доля жира </t>
    </r>
    <r>
      <rPr>
        <sz val="8"/>
        <rFont val="Times New Roman"/>
        <family val="1"/>
        <charset val="204"/>
      </rPr>
      <t>(физико-химический м-д)</t>
    </r>
  </si>
  <si>
    <t>2.6.</t>
  </si>
  <si>
    <r>
      <t xml:space="preserve">Массовая доля белка </t>
    </r>
    <r>
      <rPr>
        <sz val="8"/>
        <rFont val="Times New Roman"/>
        <family val="1"/>
        <charset val="204"/>
      </rPr>
      <t>(физико-химический м-д)</t>
    </r>
  </si>
  <si>
    <t>2.7.</t>
  </si>
  <si>
    <r>
      <t xml:space="preserve">Растворимость </t>
    </r>
    <r>
      <rPr>
        <sz val="8"/>
        <rFont val="Times New Roman"/>
        <family val="1"/>
        <charset val="204"/>
      </rPr>
      <t>(физико-химический м-д)</t>
    </r>
  </si>
  <si>
    <t>Исследование молока и молочных продуктов:</t>
  </si>
  <si>
    <t>3.1.</t>
  </si>
  <si>
    <r>
      <t xml:space="preserve">Массовая доля  жира </t>
    </r>
    <r>
      <rPr>
        <sz val="8"/>
        <rFont val="Times New Roman"/>
        <family val="1"/>
        <charset val="204"/>
      </rPr>
      <t>(физико-химический м-д)</t>
    </r>
  </si>
  <si>
    <t>3.2.</t>
  </si>
  <si>
    <r>
      <t xml:space="preserve">Массовая доля  влаги </t>
    </r>
    <r>
      <rPr>
        <sz val="8"/>
        <rFont val="Times New Roman"/>
        <family val="1"/>
        <charset val="204"/>
      </rPr>
      <t>(физико-химический м-д)</t>
    </r>
  </si>
  <si>
    <t>3.3.</t>
  </si>
  <si>
    <r>
      <t xml:space="preserve">Массовая доля  соли </t>
    </r>
    <r>
      <rPr>
        <sz val="8"/>
        <rFont val="Times New Roman"/>
        <family val="1"/>
        <charset val="204"/>
      </rPr>
      <t>(физико-химический м-д)</t>
    </r>
  </si>
  <si>
    <t>3.4.</t>
  </si>
  <si>
    <r>
      <t>Массовая доля  белка</t>
    </r>
    <r>
      <rPr>
        <sz val="8"/>
        <rFont val="Times New Roman"/>
        <family val="1"/>
        <charset val="204"/>
      </rPr>
      <t xml:space="preserve"> (физико-химический м-д)</t>
    </r>
  </si>
  <si>
    <t>3.5.</t>
  </si>
  <si>
    <r>
      <rPr>
        <sz val="11"/>
        <rFont val="Times New Roman"/>
        <family val="1"/>
        <charset val="204"/>
      </rPr>
      <t>Определение кислотности</t>
    </r>
    <r>
      <rPr>
        <sz val="12"/>
        <rFont val="Times New Roman"/>
        <family val="1"/>
        <charset val="204"/>
      </rPr>
      <t xml:space="preserve"> </t>
    </r>
    <r>
      <rPr>
        <sz val="7"/>
        <rFont val="Times New Roman"/>
        <family val="1"/>
        <charset val="204"/>
      </rPr>
      <t>(физико-химический м-д)</t>
    </r>
  </si>
  <si>
    <t>3.6.</t>
  </si>
  <si>
    <r>
      <rPr>
        <sz val="11"/>
        <rFont val="Times New Roman"/>
        <family val="1"/>
        <charset val="204"/>
      </rPr>
      <t>Определение плотности</t>
    </r>
    <r>
      <rPr>
        <sz val="8"/>
        <rFont val="Times New Roman"/>
        <family val="1"/>
        <charset val="204"/>
      </rPr>
      <t xml:space="preserve"> (физико-химический м-д)</t>
    </r>
  </si>
  <si>
    <t>3.7.</t>
  </si>
  <si>
    <r>
      <t xml:space="preserve">Определение фальсификации               </t>
    </r>
    <r>
      <rPr>
        <sz val="8"/>
        <rFont val="Times New Roman"/>
        <family val="1"/>
        <charset val="204"/>
      </rPr>
      <t>(химический м-д)</t>
    </r>
  </si>
  <si>
    <t>3.8.</t>
  </si>
  <si>
    <t>Определение физико-химических показателей на приборе "Лактан"</t>
  </si>
  <si>
    <t>3.9.</t>
  </si>
  <si>
    <r>
      <t xml:space="preserve">Точка замерзания </t>
    </r>
    <r>
      <rPr>
        <sz val="8"/>
        <rFont val="Times New Roman"/>
        <family val="1"/>
        <charset val="204"/>
      </rPr>
      <t>(физико-химический м-д)</t>
    </r>
  </si>
  <si>
    <t>3.10.</t>
  </si>
  <si>
    <t>Определение количества соматических клеток вискозиметрическим методом</t>
  </si>
  <si>
    <t>3.11.</t>
  </si>
  <si>
    <r>
      <t xml:space="preserve">Определение редуктазы с резазурином </t>
    </r>
    <r>
      <rPr>
        <sz val="8"/>
        <rFont val="Times New Roman"/>
        <family val="1"/>
        <charset val="204"/>
      </rPr>
      <t>(физико-химический м-д)</t>
    </r>
  </si>
  <si>
    <t>3.12.</t>
  </si>
  <si>
    <r>
      <t xml:space="preserve">Определение СОМО (без жира)                                    </t>
    </r>
    <r>
      <rPr>
        <sz val="8"/>
        <rFont val="Times New Roman"/>
        <family val="1"/>
        <charset val="204"/>
      </rPr>
      <t>(физико-химический м-д)</t>
    </r>
  </si>
  <si>
    <t>3.13.</t>
  </si>
  <si>
    <r>
      <rPr>
        <sz val="11"/>
        <rFont val="Times New Roman"/>
        <family val="1"/>
        <charset val="204"/>
      </rPr>
      <t>Определение фосфатазы (пероксидазы) (</t>
    </r>
    <r>
      <rPr>
        <sz val="8"/>
        <rFont val="Times New Roman"/>
        <family val="1"/>
        <charset val="204"/>
      </rPr>
      <t>физико-химический м-д)</t>
    </r>
  </si>
  <si>
    <t>3.14.</t>
  </si>
  <si>
    <r>
      <rPr>
        <sz val="11"/>
        <rFont val="Times New Roman"/>
        <family val="1"/>
        <charset val="204"/>
      </rPr>
      <t>Массовая доля сахарозы</t>
    </r>
    <r>
      <rPr>
        <sz val="12"/>
        <rFont val="Times New Roman"/>
        <family val="1"/>
        <charset val="204"/>
      </rPr>
      <t xml:space="preserve"> </t>
    </r>
    <r>
      <rPr>
        <sz val="8"/>
        <rFont val="Times New Roman"/>
        <family val="1"/>
        <charset val="204"/>
      </rPr>
      <t>(физико-химический м-д)</t>
    </r>
  </si>
  <si>
    <t>3.15.</t>
  </si>
  <si>
    <t>3.16.</t>
  </si>
  <si>
    <r>
      <t xml:space="preserve">Определение группы чистоты  </t>
    </r>
    <r>
      <rPr>
        <sz val="8"/>
        <rFont val="Times New Roman"/>
        <family val="1"/>
        <charset val="204"/>
      </rPr>
      <t>(микробиологический  м-д)</t>
    </r>
  </si>
  <si>
    <t>3.17.</t>
  </si>
  <si>
    <r>
      <rPr>
        <sz val="11"/>
        <rFont val="Times New Roman"/>
        <family val="1"/>
        <charset val="204"/>
      </rPr>
      <t>Массовая доля кальция</t>
    </r>
    <r>
      <rPr>
        <sz val="12"/>
        <rFont val="Times New Roman"/>
        <family val="1"/>
        <charset val="204"/>
      </rPr>
      <t xml:space="preserve"> </t>
    </r>
    <r>
      <rPr>
        <sz val="8"/>
        <rFont val="Times New Roman"/>
        <family val="1"/>
        <charset val="204"/>
      </rPr>
      <t>(физико-химический м-д)</t>
    </r>
  </si>
  <si>
    <t>3.18.</t>
  </si>
  <si>
    <r>
      <t xml:space="preserve">Титруемая кислотность молочной плазмы </t>
    </r>
    <r>
      <rPr>
        <sz val="8"/>
        <rFont val="Times New Roman"/>
        <family val="1"/>
        <charset val="204"/>
      </rPr>
      <t>(химический м-д)</t>
    </r>
  </si>
  <si>
    <t>3.19.</t>
  </si>
  <si>
    <r>
      <t xml:space="preserve">Индекс растворимости </t>
    </r>
    <r>
      <rPr>
        <sz val="8"/>
        <rFont val="Times New Roman"/>
        <family val="1"/>
        <charset val="204"/>
      </rPr>
      <t>(физико-химический м-д)</t>
    </r>
  </si>
  <si>
    <t>3.20.</t>
  </si>
  <si>
    <r>
      <t xml:space="preserve">Ингибирующие вещества                            </t>
    </r>
    <r>
      <rPr>
        <sz val="8"/>
        <rFont val="Times New Roman"/>
        <family val="1"/>
        <charset val="204"/>
      </rPr>
      <t xml:space="preserve"> (микробиологический  м-д)</t>
    </r>
  </si>
  <si>
    <t>3.21.</t>
  </si>
  <si>
    <r>
      <t xml:space="preserve">Нитрат натрия </t>
    </r>
    <r>
      <rPr>
        <sz val="10"/>
        <rFont val="Times New Roman"/>
        <family val="1"/>
        <charset val="204"/>
      </rPr>
      <t>(фотометрический метод)</t>
    </r>
  </si>
  <si>
    <t>3.22.</t>
  </si>
  <si>
    <r>
      <t xml:space="preserve">Массовая доля соды </t>
    </r>
    <r>
      <rPr>
        <sz val="8"/>
        <rFont val="Times New Roman"/>
        <family val="1"/>
        <charset val="204"/>
      </rPr>
      <t>(физико-химический м-д)</t>
    </r>
  </si>
  <si>
    <t>3.23.</t>
  </si>
  <si>
    <r>
      <t xml:space="preserve">Массовая доля сухого вещества </t>
    </r>
    <r>
      <rPr>
        <sz val="8"/>
        <rFont val="Times New Roman"/>
        <family val="1"/>
        <charset val="204"/>
      </rPr>
      <t>(физико-химический м-д)</t>
    </r>
  </si>
  <si>
    <t>3.24.</t>
  </si>
  <si>
    <t>3.25.</t>
  </si>
  <si>
    <r>
      <t xml:space="preserve">Определение количества бифидобактерий, лактобактерий </t>
    </r>
    <r>
      <rPr>
        <sz val="10"/>
        <rFont val="Times New Roman"/>
        <family val="1"/>
        <charset val="204"/>
      </rPr>
      <t>(микробиологический м-д)</t>
    </r>
  </si>
  <si>
    <t>Исследование рыбы и рыбных продуктов, нерыбные объекты</t>
  </si>
  <si>
    <t>4.1.</t>
  </si>
  <si>
    <t>4.2.</t>
  </si>
  <si>
    <t>4.3.</t>
  </si>
  <si>
    <r>
      <t xml:space="preserve">Определение аммиака и солей аммония </t>
    </r>
    <r>
      <rPr>
        <sz val="8"/>
        <rFont val="Times New Roman"/>
        <family val="1"/>
        <charset val="204"/>
      </rPr>
      <t>(физико-химический м-д)</t>
    </r>
  </si>
  <si>
    <t>4.4.</t>
  </si>
  <si>
    <r>
      <t xml:space="preserve">Определение сероводорода </t>
    </r>
    <r>
      <rPr>
        <sz val="8"/>
        <rFont val="Times New Roman"/>
        <family val="1"/>
        <charset val="204"/>
      </rPr>
      <t>(химический м-д)</t>
    </r>
  </si>
  <si>
    <t>4.5.</t>
  </si>
  <si>
    <t>4.6.</t>
  </si>
  <si>
    <t>4.7.</t>
  </si>
  <si>
    <t>4.8.</t>
  </si>
  <si>
    <r>
      <rPr>
        <sz val="12"/>
        <rFont val="Times New Roman"/>
        <family val="1"/>
        <charset val="204"/>
      </rPr>
      <t>Определение гистамина</t>
    </r>
    <r>
      <rPr>
        <sz val="10"/>
        <rFont val="Times New Roman"/>
        <family val="1"/>
        <charset val="204"/>
      </rPr>
      <t xml:space="preserve">                                        </t>
    </r>
    <r>
      <rPr>
        <sz val="8"/>
        <rFont val="Times New Roman"/>
        <family val="1"/>
        <charset val="204"/>
      </rPr>
      <t>(фотометрический м-</t>
    </r>
    <r>
      <rPr>
        <i/>
        <sz val="8"/>
        <rFont val="Times New Roman"/>
        <family val="1"/>
        <charset val="204"/>
      </rPr>
      <t>д)</t>
    </r>
    <r>
      <rPr>
        <i/>
        <sz val="10"/>
        <rFont val="Times New Roman"/>
        <family val="1"/>
        <charset val="204"/>
      </rPr>
      <t xml:space="preserve"> </t>
    </r>
  </si>
  <si>
    <t>Исследование консервов, пресервов (мясных и рыбных)</t>
  </si>
  <si>
    <t>5.1.</t>
  </si>
  <si>
    <t>5.2.</t>
  </si>
  <si>
    <t>5.3.</t>
  </si>
  <si>
    <t>5.4.</t>
  </si>
  <si>
    <r>
      <t xml:space="preserve">Определение гистамина </t>
    </r>
    <r>
      <rPr>
        <sz val="8"/>
        <rFont val="Times New Roman"/>
        <family val="1"/>
        <charset val="204"/>
      </rPr>
      <t>(фотометрический м-д)</t>
    </r>
  </si>
  <si>
    <t>5.5.</t>
  </si>
  <si>
    <r>
      <t xml:space="preserve">Определение кислотности </t>
    </r>
    <r>
      <rPr>
        <sz val="8"/>
        <rFont val="Times New Roman"/>
        <family val="1"/>
        <charset val="204"/>
      </rPr>
      <t>(химический м-д)</t>
    </r>
  </si>
  <si>
    <t>5.6.</t>
  </si>
  <si>
    <r>
      <t xml:space="preserve">Определение БКН (бензойнокислый натрий – консервант) </t>
    </r>
    <r>
      <rPr>
        <sz val="8"/>
        <rFont val="Times New Roman"/>
        <family val="1"/>
        <charset val="204"/>
      </rPr>
      <t>(химический м-д)</t>
    </r>
  </si>
  <si>
    <t>5.7.</t>
  </si>
  <si>
    <r>
      <t xml:space="preserve">Определение уротропина (консервант) </t>
    </r>
    <r>
      <rPr>
        <sz val="8"/>
        <rFont val="Times New Roman"/>
        <family val="1"/>
        <charset val="204"/>
      </rPr>
      <t>(физико-химический м-д)</t>
    </r>
  </si>
  <si>
    <t>Исследования  продукции масложировой промышленности</t>
  </si>
  <si>
    <r>
      <t xml:space="preserve">Определение влаги </t>
    </r>
    <r>
      <rPr>
        <sz val="8"/>
        <rFont val="Times New Roman"/>
        <family val="1"/>
        <charset val="204"/>
      </rPr>
      <t>(физико-химический м-д)</t>
    </r>
  </si>
  <si>
    <t>6.3.</t>
  </si>
  <si>
    <t>6.4.</t>
  </si>
  <si>
    <r>
      <t>Массовая  доля жира</t>
    </r>
    <r>
      <rPr>
        <sz val="8"/>
        <rFont val="Times New Roman"/>
        <family val="1"/>
        <charset val="204"/>
      </rPr>
      <t xml:space="preserve"> (физико-химический м-д)</t>
    </r>
  </si>
  <si>
    <t>6.5.</t>
  </si>
  <si>
    <r>
      <t xml:space="preserve">Определение перекисного числа </t>
    </r>
    <r>
      <rPr>
        <sz val="8"/>
        <rFont val="Times New Roman"/>
        <family val="1"/>
        <charset val="204"/>
      </rPr>
      <t>(химический м-д)</t>
    </r>
  </si>
  <si>
    <t>6.6.</t>
  </si>
  <si>
    <r>
      <t xml:space="preserve">Фальсификация </t>
    </r>
    <r>
      <rPr>
        <sz val="8"/>
        <rFont val="Times New Roman"/>
        <family val="1"/>
        <charset val="204"/>
      </rPr>
      <t>(химический м-д)</t>
    </r>
  </si>
  <si>
    <t>6.7.</t>
  </si>
  <si>
    <r>
      <t xml:space="preserve">Определение кислотного числа                  </t>
    </r>
    <r>
      <rPr>
        <sz val="8"/>
        <rFont val="Times New Roman"/>
        <family val="1"/>
        <charset val="204"/>
      </rPr>
      <t>(химический м-д)</t>
    </r>
  </si>
  <si>
    <t>6.8.</t>
  </si>
  <si>
    <r>
      <t xml:space="preserve">Цветное число </t>
    </r>
    <r>
      <rPr>
        <sz val="8"/>
        <rFont val="Times New Roman"/>
        <family val="1"/>
        <charset val="204"/>
      </rPr>
      <t>(химический м-д)</t>
    </r>
  </si>
  <si>
    <t>6.9.</t>
  </si>
  <si>
    <r>
      <t xml:space="preserve">Определение фосфорсодержащих соединений   </t>
    </r>
    <r>
      <rPr>
        <i/>
        <sz val="9"/>
        <rFont val="Times New Roman"/>
        <family val="1"/>
        <charset val="204"/>
      </rPr>
      <t>фотометрический метод</t>
    </r>
  </si>
  <si>
    <t>6.10.</t>
  </si>
  <si>
    <r>
      <t xml:space="preserve">Определение нежировых примесей           </t>
    </r>
    <r>
      <rPr>
        <sz val="8"/>
        <rFont val="Times New Roman"/>
        <family val="1"/>
        <charset val="204"/>
      </rPr>
      <t>(химический м-д)</t>
    </r>
  </si>
  <si>
    <t>6.11.</t>
  </si>
  <si>
    <r>
      <t xml:space="preserve">Определение отстоя </t>
    </r>
    <r>
      <rPr>
        <sz val="8"/>
        <rFont val="Times New Roman"/>
        <family val="1"/>
        <charset val="204"/>
      </rPr>
      <t>(химический м-д)</t>
    </r>
  </si>
  <si>
    <t>6.12.</t>
  </si>
  <si>
    <r>
      <t xml:space="preserve">Определение температуры плавления </t>
    </r>
    <r>
      <rPr>
        <sz val="8"/>
        <rFont val="Times New Roman"/>
        <family val="1"/>
        <charset val="204"/>
      </rPr>
      <t>(химический м-д)</t>
    </r>
  </si>
  <si>
    <t>6.13.</t>
  </si>
  <si>
    <t>6.14.</t>
  </si>
  <si>
    <r>
      <t xml:space="preserve">Массовая доля неомыляемых веществ </t>
    </r>
    <r>
      <rPr>
        <sz val="8"/>
        <rFont val="Times New Roman"/>
        <family val="1"/>
        <charset val="204"/>
      </rPr>
      <t>(химический м-д)</t>
    </r>
  </si>
  <si>
    <t>6.15.</t>
  </si>
  <si>
    <r>
      <t xml:space="preserve">Массовая доля нерастворимых веществ </t>
    </r>
    <r>
      <rPr>
        <sz val="8"/>
        <rFont val="Times New Roman"/>
        <family val="1"/>
        <charset val="204"/>
      </rPr>
      <t>(химический м-д)</t>
    </r>
  </si>
  <si>
    <t>6.16.</t>
  </si>
  <si>
    <r>
      <t xml:space="preserve">Температура застывания жирных кислот </t>
    </r>
    <r>
      <rPr>
        <sz val="8"/>
        <rFont val="Times New Roman"/>
        <family val="1"/>
        <charset val="204"/>
      </rPr>
      <t>(химический м-д)</t>
    </r>
  </si>
  <si>
    <t>Исследование меда</t>
  </si>
  <si>
    <t>7.1.</t>
  </si>
  <si>
    <t>7.2.</t>
  </si>
  <si>
    <r>
      <t>Влажность</t>
    </r>
    <r>
      <rPr>
        <sz val="8"/>
        <rFont val="Times New Roman"/>
        <family val="1"/>
        <charset val="204"/>
      </rPr>
      <t xml:space="preserve"> (физико-химический м-д)</t>
    </r>
  </si>
  <si>
    <t>7.3.</t>
  </si>
  <si>
    <r>
      <t xml:space="preserve">Кислотность </t>
    </r>
    <r>
      <rPr>
        <sz val="8"/>
        <rFont val="Times New Roman"/>
        <family val="1"/>
        <charset val="204"/>
      </rPr>
      <t>(физико-химический м-д)</t>
    </r>
  </si>
  <si>
    <t>7.4.</t>
  </si>
  <si>
    <r>
      <t xml:space="preserve">Диастазное число </t>
    </r>
    <r>
      <rPr>
        <sz val="8"/>
        <rFont val="Times New Roman"/>
        <family val="1"/>
        <charset val="204"/>
      </rPr>
      <t>(химический м-д)</t>
    </r>
  </si>
  <si>
    <t>7.5.</t>
  </si>
  <si>
    <r>
      <t xml:space="preserve">Определение сахаров и сахарозы               </t>
    </r>
    <r>
      <rPr>
        <sz val="8"/>
        <rFont val="Times New Roman"/>
        <family val="1"/>
        <charset val="204"/>
      </rPr>
      <t xml:space="preserve"> (химический м-д)</t>
    </r>
  </si>
  <si>
    <t>7.6.</t>
  </si>
  <si>
    <r>
      <t xml:space="preserve">Определение пади </t>
    </r>
    <r>
      <rPr>
        <sz val="8"/>
        <rFont val="Times New Roman"/>
        <family val="1"/>
        <charset val="204"/>
      </rPr>
      <t>(физико-химический м-д)</t>
    </r>
  </si>
  <si>
    <t>7.7.</t>
  </si>
  <si>
    <r>
      <t xml:space="preserve">Механические примеси                                </t>
    </r>
    <r>
      <rPr>
        <sz val="8"/>
        <rFont val="Times New Roman"/>
        <family val="1"/>
        <charset val="204"/>
      </rPr>
      <t>(физико-химический м-д)</t>
    </r>
  </si>
  <si>
    <t>7.8.</t>
  </si>
  <si>
    <r>
      <t xml:space="preserve">Примесь патоки </t>
    </r>
    <r>
      <rPr>
        <sz val="8"/>
        <rFont val="Times New Roman"/>
        <family val="1"/>
        <charset val="204"/>
      </rPr>
      <t>(физико-химический м-д)</t>
    </r>
  </si>
  <si>
    <t>7.9.</t>
  </si>
  <si>
    <r>
      <t>Определение оксиметилфурфурола (качественная реакция)</t>
    </r>
    <r>
      <rPr>
        <sz val="7"/>
        <rFont val="Times New Roman"/>
        <family val="1"/>
        <charset val="204"/>
      </rPr>
      <t xml:space="preserve"> (химический м-д)</t>
    </r>
  </si>
  <si>
    <t>7.10.</t>
  </si>
  <si>
    <r>
      <t xml:space="preserve">Определение оксиметилфурфурола </t>
    </r>
    <r>
      <rPr>
        <sz val="8"/>
        <rFont val="Times New Roman"/>
        <family val="1"/>
        <charset val="204"/>
      </rPr>
      <t>(химический м-д)</t>
    </r>
  </si>
  <si>
    <t>7.11.</t>
  </si>
  <si>
    <r>
      <t xml:space="preserve">Редуцирующие сахара </t>
    </r>
    <r>
      <rPr>
        <sz val="8"/>
        <rFont val="Times New Roman"/>
        <family val="1"/>
        <charset val="204"/>
      </rPr>
      <t>(химический м-д)</t>
    </r>
  </si>
  <si>
    <t>7.12.</t>
  </si>
  <si>
    <r>
      <t xml:space="preserve">Пыльцевой анализ меда </t>
    </r>
    <r>
      <rPr>
        <sz val="8"/>
        <rFont val="Times New Roman"/>
        <family val="1"/>
        <charset val="204"/>
      </rPr>
      <t>(химический м-д)</t>
    </r>
  </si>
  <si>
    <t>7.13.</t>
  </si>
  <si>
    <r>
      <t xml:space="preserve">Массовая доля включений </t>
    </r>
    <r>
      <rPr>
        <sz val="9"/>
        <rFont val="Times New Roman"/>
        <family val="1"/>
        <charset val="204"/>
      </rPr>
      <t>(химический м-д)</t>
    </r>
  </si>
  <si>
    <t>Исследование плодоовощной продукции</t>
  </si>
  <si>
    <t>8.1.</t>
  </si>
  <si>
    <t>8.2.</t>
  </si>
  <si>
    <r>
      <t>Определение нитритов</t>
    </r>
    <r>
      <rPr>
        <sz val="8"/>
        <rFont val="Times New Roman"/>
        <family val="1"/>
        <charset val="204"/>
      </rPr>
      <t xml:space="preserve"> (ионометрический м-д)</t>
    </r>
  </si>
  <si>
    <t>8.3.</t>
  </si>
  <si>
    <r>
      <t xml:space="preserve">Определение концентрации нитратов микропроцессорным измерителем "Микон" </t>
    </r>
    <r>
      <rPr>
        <sz val="10"/>
        <rFont val="Times New Roman"/>
        <family val="1"/>
        <charset val="204"/>
      </rPr>
      <t>(ионометрический м-д)</t>
    </r>
  </si>
  <si>
    <t>Исследование продуктов переботки плодов и овощей</t>
  </si>
  <si>
    <t>9.1.</t>
  </si>
  <si>
    <t>9.2.</t>
  </si>
  <si>
    <r>
      <t xml:space="preserve">Содержание металломагнитной примеси </t>
    </r>
    <r>
      <rPr>
        <sz val="8"/>
        <rFont val="Times New Roman"/>
        <family val="1"/>
        <charset val="204"/>
      </rPr>
      <t>(физико-химический м-д)</t>
    </r>
  </si>
  <si>
    <t>9.3.</t>
  </si>
  <si>
    <t>9.4.</t>
  </si>
  <si>
    <r>
      <rPr>
        <sz val="11"/>
        <rFont val="Times New Roman"/>
        <family val="1"/>
        <charset val="204"/>
      </rPr>
      <t>Определение кислотности</t>
    </r>
    <r>
      <rPr>
        <sz val="7"/>
        <rFont val="Times New Roman"/>
        <family val="1"/>
        <charset val="204"/>
      </rPr>
      <t xml:space="preserve"> (физико-химический м-д)</t>
    </r>
  </si>
  <si>
    <t>9.5.</t>
  </si>
  <si>
    <r>
      <t>Определение белка</t>
    </r>
    <r>
      <rPr>
        <sz val="8"/>
        <rFont val="Times New Roman"/>
        <family val="1"/>
        <charset val="204"/>
      </rPr>
      <t xml:space="preserve"> (физико-химический м-д)</t>
    </r>
  </si>
  <si>
    <t>9.6.</t>
  </si>
  <si>
    <r>
      <t>Определение поваренной соли</t>
    </r>
    <r>
      <rPr>
        <sz val="8"/>
        <rFont val="Times New Roman"/>
        <family val="1"/>
        <charset val="204"/>
      </rPr>
      <t xml:space="preserve">                         (физико-химический м-д)</t>
    </r>
  </si>
  <si>
    <t>9.7.</t>
  </si>
  <si>
    <r>
      <t>Определение жира</t>
    </r>
    <r>
      <rPr>
        <sz val="8"/>
        <rFont val="Times New Roman"/>
        <family val="1"/>
        <charset val="204"/>
      </rPr>
      <t xml:space="preserve"> (физико-химический м-д)</t>
    </r>
  </si>
  <si>
    <t>9.8.</t>
  </si>
  <si>
    <r>
      <t xml:space="preserve">Определение нитритов  </t>
    </r>
    <r>
      <rPr>
        <sz val="8"/>
        <rFont val="Times New Roman"/>
        <family val="1"/>
        <charset val="204"/>
      </rPr>
      <t>(ионометрический м-д)</t>
    </r>
  </si>
  <si>
    <t>9.9.</t>
  </si>
  <si>
    <t>Определение концентрации нитратов микропроцессорным измерителем "Микон" (ионометрический м-д)</t>
  </si>
  <si>
    <t xml:space="preserve">Исследование хлеба, хлебобулочных, макаронных  и кондитерских изделий </t>
  </si>
  <si>
    <t>10.1.</t>
  </si>
  <si>
    <t>10.2.</t>
  </si>
  <si>
    <t>10.3.</t>
  </si>
  <si>
    <r>
      <rPr>
        <sz val="11"/>
        <rFont val="Times New Roman"/>
        <family val="1"/>
        <charset val="204"/>
      </rPr>
      <t xml:space="preserve">Определение кислотности </t>
    </r>
    <r>
      <rPr>
        <sz val="7"/>
        <rFont val="Times New Roman"/>
        <family val="1"/>
        <charset val="204"/>
      </rPr>
      <t>(физико-химический м-д)</t>
    </r>
  </si>
  <si>
    <t>10.4.</t>
  </si>
  <si>
    <r>
      <t xml:space="preserve">Пористость </t>
    </r>
    <r>
      <rPr>
        <sz val="8"/>
        <rFont val="Times New Roman"/>
        <family val="1"/>
        <charset val="204"/>
      </rPr>
      <t>(физико-химический м-д)</t>
    </r>
  </si>
  <si>
    <t>10.5.</t>
  </si>
  <si>
    <r>
      <t xml:space="preserve">Определение жира </t>
    </r>
    <r>
      <rPr>
        <sz val="8"/>
        <rFont val="Times New Roman"/>
        <family val="1"/>
        <charset val="204"/>
      </rPr>
      <t>(физико-химический м-д)</t>
    </r>
  </si>
  <si>
    <t>10.6.</t>
  </si>
  <si>
    <r>
      <t xml:space="preserve">Определение сахаров и сахарозы                </t>
    </r>
    <r>
      <rPr>
        <sz val="8"/>
        <rFont val="Times New Roman"/>
        <family val="1"/>
        <charset val="204"/>
      </rPr>
      <t>(физико-химический м-д)</t>
    </r>
  </si>
  <si>
    <t>10.7.</t>
  </si>
  <si>
    <r>
      <t xml:space="preserve">Редуцирующие вещества                             </t>
    </r>
    <r>
      <rPr>
        <sz val="8"/>
        <rFont val="Times New Roman"/>
        <family val="1"/>
        <charset val="204"/>
      </rPr>
      <t xml:space="preserve"> (физико-химический м-д)</t>
    </r>
  </si>
  <si>
    <t>10.8.</t>
  </si>
  <si>
    <r>
      <t xml:space="preserve">Зола не растворимая в соляной кислоте </t>
    </r>
    <r>
      <rPr>
        <sz val="8"/>
        <rFont val="Times New Roman"/>
        <family val="1"/>
        <charset val="204"/>
      </rPr>
      <t>(физико-химический м-д)</t>
    </r>
  </si>
  <si>
    <t>10.9.</t>
  </si>
  <si>
    <r>
      <t xml:space="preserve">Щелочность  </t>
    </r>
    <r>
      <rPr>
        <sz val="8"/>
        <rFont val="Times New Roman"/>
        <family val="1"/>
        <charset val="204"/>
      </rPr>
      <t>(физико-химический м-д)</t>
    </r>
  </si>
  <si>
    <t>10.10.</t>
  </si>
  <si>
    <r>
      <t xml:space="preserve">Намокаемость </t>
    </r>
    <r>
      <rPr>
        <sz val="8"/>
        <rFont val="Times New Roman"/>
        <family val="1"/>
        <charset val="204"/>
      </rPr>
      <t>(физико-химический м-д)</t>
    </r>
  </si>
  <si>
    <t>10.11.</t>
  </si>
  <si>
    <r>
      <t>Белок</t>
    </r>
    <r>
      <rPr>
        <sz val="8"/>
        <rFont val="Times New Roman"/>
        <family val="1"/>
        <charset val="204"/>
      </rPr>
      <t xml:space="preserve"> (физико-химический м-д)</t>
    </r>
  </si>
  <si>
    <t>10.12.</t>
  </si>
  <si>
    <r>
      <t xml:space="preserve">Массовая доля общей сернистой кислоты </t>
    </r>
    <r>
      <rPr>
        <sz val="8"/>
        <rFont val="Times New Roman"/>
        <family val="1"/>
        <charset val="204"/>
      </rPr>
      <t>(физико-химический м-д)</t>
    </r>
  </si>
  <si>
    <t>10.13.</t>
  </si>
  <si>
    <r>
      <t>Массовая доля йода</t>
    </r>
    <r>
      <rPr>
        <sz val="8"/>
        <rFont val="Times New Roman"/>
        <family val="1"/>
        <charset val="204"/>
      </rPr>
      <t xml:space="preserve"> (физико-химический м-д)</t>
    </r>
  </si>
  <si>
    <t>10.14</t>
  </si>
  <si>
    <t>Массовая доля крахмала                                         (физико-химический м-д)</t>
  </si>
  <si>
    <t xml:space="preserve">Исследование напитков безалкогольных и алкогольных </t>
  </si>
  <si>
    <t>11.1.</t>
  </si>
  <si>
    <r>
      <t xml:space="preserve">Крепость </t>
    </r>
    <r>
      <rPr>
        <sz val="8"/>
        <rFont val="Times New Roman"/>
        <family val="1"/>
        <charset val="204"/>
      </rPr>
      <t>(физико-химический м-д)</t>
    </r>
  </si>
  <si>
    <t>11.2.</t>
  </si>
  <si>
    <r>
      <t xml:space="preserve">Щелочность </t>
    </r>
    <r>
      <rPr>
        <sz val="8"/>
        <rFont val="Times New Roman"/>
        <family val="1"/>
        <charset val="204"/>
      </rPr>
      <t xml:space="preserve"> (физико-химический м-д)</t>
    </r>
  </si>
  <si>
    <t>11.3.</t>
  </si>
  <si>
    <r>
      <t>Массовая доля уксусного альдегида</t>
    </r>
    <r>
      <rPr>
        <sz val="8"/>
        <rFont val="Times New Roman"/>
        <family val="1"/>
        <charset val="204"/>
      </rPr>
      <t xml:space="preserve">               (физико-химический м-д)</t>
    </r>
  </si>
  <si>
    <t>11.4.</t>
  </si>
  <si>
    <r>
      <t xml:space="preserve">Сивушные масла </t>
    </r>
    <r>
      <rPr>
        <sz val="8"/>
        <rFont val="Times New Roman"/>
        <family val="1"/>
        <charset val="204"/>
      </rPr>
      <t>(физико-химический м-д)</t>
    </r>
  </si>
  <si>
    <t>11.5.</t>
  </si>
  <si>
    <r>
      <t xml:space="preserve">Метиловый спирт </t>
    </r>
    <r>
      <rPr>
        <sz val="8"/>
        <rFont val="Times New Roman"/>
        <family val="1"/>
        <charset val="204"/>
      </rPr>
      <t>(физико-химический м-д)</t>
    </r>
  </si>
  <si>
    <t>11.6.</t>
  </si>
  <si>
    <t>11.7.</t>
  </si>
  <si>
    <r>
      <t xml:space="preserve">рН   </t>
    </r>
    <r>
      <rPr>
        <sz val="8"/>
        <rFont val="Times New Roman"/>
        <family val="1"/>
        <charset val="204"/>
      </rPr>
      <t>(ионометрический м-д)</t>
    </r>
  </si>
  <si>
    <t>11.8.</t>
  </si>
  <si>
    <r>
      <t xml:space="preserve">Массовая доля двуокиси углерода               </t>
    </r>
    <r>
      <rPr>
        <sz val="8"/>
        <rFont val="Times New Roman"/>
        <family val="1"/>
        <charset val="204"/>
      </rPr>
      <t>(физико-химический м-д)</t>
    </r>
  </si>
  <si>
    <t>11.9.</t>
  </si>
  <si>
    <t>11.10.</t>
  </si>
  <si>
    <r>
      <t xml:space="preserve">Определение сахара </t>
    </r>
    <r>
      <rPr>
        <sz val="8"/>
        <rFont val="Times New Roman"/>
        <family val="1"/>
        <charset val="204"/>
      </rPr>
      <t>(физико-химический м-д)</t>
    </r>
  </si>
  <si>
    <t>11.11.</t>
  </si>
  <si>
    <r>
      <t xml:space="preserve">Высота пены </t>
    </r>
    <r>
      <rPr>
        <sz val="8"/>
        <rFont val="Times New Roman"/>
        <family val="1"/>
        <charset val="204"/>
      </rPr>
      <t>(физико-химический м-д)</t>
    </r>
  </si>
  <si>
    <t>11.12.</t>
  </si>
  <si>
    <r>
      <t xml:space="preserve">Пеностойкость </t>
    </r>
    <r>
      <rPr>
        <sz val="8"/>
        <rFont val="Times New Roman"/>
        <family val="1"/>
        <charset val="204"/>
      </rPr>
      <t>(физико-химический м-д)</t>
    </r>
  </si>
  <si>
    <t>11.13.</t>
  </si>
  <si>
    <r>
      <t xml:space="preserve">Цвет </t>
    </r>
    <r>
      <rPr>
        <sz val="8"/>
        <rFont val="Times New Roman"/>
        <family val="1"/>
        <charset val="204"/>
      </rPr>
      <t>(физико-химический м-д)</t>
    </r>
  </si>
  <si>
    <t>Исследование воды</t>
  </si>
  <si>
    <t>12.1.</t>
  </si>
  <si>
    <t>Санитарно-гигиенические исследования воды(органолептика,физические,химические методы:запах,цвет,вкус,мутность,осадок,окисляемость,нитриты,нитраты,хлориды,сульфаты,жесткость,сероводород,др.)</t>
  </si>
  <si>
    <t>12.2.</t>
  </si>
  <si>
    <t>Гидрохимические исследования на основные показатели пробы воды в прудовых хозяйствах)</t>
  </si>
  <si>
    <t>12.3.</t>
  </si>
  <si>
    <t>Микробиологические исследования питьевой воды</t>
  </si>
  <si>
    <t>12.4.</t>
  </si>
  <si>
    <t>Микробиологические исследования  воды водоемов</t>
  </si>
  <si>
    <t>12.5.</t>
  </si>
  <si>
    <t>Определение токсичных элементов методом ААС</t>
  </si>
  <si>
    <t>12.6.</t>
  </si>
  <si>
    <t>12.7.</t>
  </si>
  <si>
    <r>
      <t xml:space="preserve">Яйца, личинки гельминтов, цисты кишечных патогенных простейших  </t>
    </r>
    <r>
      <rPr>
        <sz val="8"/>
        <rFont val="Times New Roman"/>
        <family val="1"/>
        <charset val="204"/>
      </rPr>
      <t>(метод микроскопии)</t>
    </r>
  </si>
  <si>
    <t>12.8.</t>
  </si>
  <si>
    <r>
      <t xml:space="preserve">Удельная электропроводность </t>
    </r>
    <r>
      <rPr>
        <sz val="8"/>
        <rFont val="Times New Roman"/>
        <family val="1"/>
        <charset val="204"/>
      </rPr>
      <t>(ионометрический м-д)</t>
    </r>
  </si>
  <si>
    <t>12.9.</t>
  </si>
  <si>
    <r>
      <t xml:space="preserve">Мутность </t>
    </r>
    <r>
      <rPr>
        <sz val="8"/>
        <rFont val="Times New Roman"/>
        <family val="1"/>
        <charset val="204"/>
      </rPr>
      <t>(физико-химический м-д)</t>
    </r>
  </si>
  <si>
    <t>12.10.</t>
  </si>
  <si>
    <r>
      <t xml:space="preserve">Цветность </t>
    </r>
    <r>
      <rPr>
        <sz val="8"/>
        <rFont val="Times New Roman"/>
        <family val="1"/>
        <charset val="204"/>
      </rPr>
      <t xml:space="preserve"> (физико-химический м-д)</t>
    </r>
  </si>
  <si>
    <t>12.11.</t>
  </si>
  <si>
    <r>
      <t xml:space="preserve">Жесткость  </t>
    </r>
    <r>
      <rPr>
        <sz val="8"/>
        <rFont val="Times New Roman"/>
        <family val="1"/>
        <charset val="204"/>
      </rPr>
      <t>(физико-химический м-д)</t>
    </r>
  </si>
  <si>
    <t>12.12.</t>
  </si>
  <si>
    <t>12.13.</t>
  </si>
  <si>
    <r>
      <t xml:space="preserve">Нитраты  </t>
    </r>
    <r>
      <rPr>
        <sz val="8"/>
        <rFont val="Times New Roman"/>
        <family val="1"/>
        <charset val="204"/>
      </rPr>
      <t>(физико-химический м-д)</t>
    </r>
  </si>
  <si>
    <t>12.14.</t>
  </si>
  <si>
    <r>
      <t xml:space="preserve">Нитриты  </t>
    </r>
    <r>
      <rPr>
        <sz val="8"/>
        <rFont val="Times New Roman"/>
        <family val="1"/>
        <charset val="204"/>
      </rPr>
      <t>(физико-химический м-д)</t>
    </r>
  </si>
  <si>
    <t>12.15.</t>
  </si>
  <si>
    <r>
      <t xml:space="preserve">Железо     </t>
    </r>
    <r>
      <rPr>
        <sz val="8"/>
        <rFont val="Times New Roman"/>
        <family val="1"/>
        <charset val="204"/>
      </rPr>
      <t>(физико-химический м-д)</t>
    </r>
  </si>
  <si>
    <t>12.16.</t>
  </si>
  <si>
    <r>
      <t xml:space="preserve">Массовая концентрация аммиака и ионов аммония </t>
    </r>
    <r>
      <rPr>
        <sz val="8"/>
        <rFont val="Times New Roman"/>
        <family val="1"/>
        <charset val="204"/>
      </rPr>
      <t>(фотометрический м-д)</t>
    </r>
  </si>
  <si>
    <t>12.17.</t>
  </si>
  <si>
    <r>
      <t xml:space="preserve">Хлориды  </t>
    </r>
    <r>
      <rPr>
        <sz val="8"/>
        <rFont val="Times New Roman"/>
        <family val="1"/>
        <charset val="204"/>
      </rPr>
      <t>(физико-химический м-д)</t>
    </r>
  </si>
  <si>
    <t>12.18.</t>
  </si>
  <si>
    <r>
      <t xml:space="preserve">Сульфаты  </t>
    </r>
    <r>
      <rPr>
        <sz val="8"/>
        <rFont val="Times New Roman"/>
        <family val="1"/>
        <charset val="204"/>
      </rPr>
      <t xml:space="preserve">(физико-химический м-д) </t>
    </r>
  </si>
  <si>
    <t>12.19.</t>
  </si>
  <si>
    <r>
      <t xml:space="preserve">Фосфаты  </t>
    </r>
    <r>
      <rPr>
        <sz val="8"/>
        <rFont val="Times New Roman"/>
        <family val="1"/>
        <charset val="204"/>
      </rPr>
      <t>(физико-химический м-д)</t>
    </r>
  </si>
  <si>
    <t>12.20.</t>
  </si>
  <si>
    <r>
      <t xml:space="preserve">Фториды </t>
    </r>
    <r>
      <rPr>
        <sz val="8"/>
        <rFont val="Times New Roman"/>
        <family val="1"/>
        <charset val="204"/>
      </rPr>
      <t>(фотометрический метод)</t>
    </r>
  </si>
  <si>
    <t>12.21.</t>
  </si>
  <si>
    <r>
      <t xml:space="preserve">Нефтепродукты </t>
    </r>
    <r>
      <rPr>
        <sz val="8"/>
        <rFont val="Times New Roman"/>
        <family val="1"/>
        <charset val="204"/>
      </rPr>
      <t>(фотометрический метод)</t>
    </r>
  </si>
  <si>
    <t>12.22.</t>
  </si>
  <si>
    <r>
      <t xml:space="preserve">Фенолы  </t>
    </r>
    <r>
      <rPr>
        <sz val="8"/>
        <rFont val="Times New Roman"/>
        <family val="1"/>
        <charset val="204"/>
      </rPr>
      <t>(физико-химический м-д)</t>
    </r>
  </si>
  <si>
    <t>12.23.</t>
  </si>
  <si>
    <r>
      <t xml:space="preserve">Поверхностные вещества ПАВ </t>
    </r>
    <r>
      <rPr>
        <sz val="8"/>
        <rFont val="Times New Roman"/>
        <family val="1"/>
        <charset val="204"/>
      </rPr>
      <t>(физико-химический м-д)</t>
    </r>
  </si>
  <si>
    <t>12.24.</t>
  </si>
  <si>
    <r>
      <rPr>
        <sz val="11"/>
        <rFont val="Times New Roman"/>
        <family val="1"/>
        <charset val="204"/>
      </rPr>
      <t xml:space="preserve">Водородный показатель рН </t>
    </r>
    <r>
      <rPr>
        <sz val="7"/>
        <rFont val="Times New Roman"/>
        <family val="1"/>
        <charset val="204"/>
      </rPr>
      <t>(физико-химический м-д)</t>
    </r>
  </si>
  <si>
    <t>12.25.</t>
  </si>
  <si>
    <r>
      <t xml:space="preserve">Взвешанные вещества </t>
    </r>
    <r>
      <rPr>
        <sz val="8"/>
        <rFont val="Times New Roman"/>
        <family val="1"/>
        <charset val="204"/>
      </rPr>
      <t>(физико-химический м-д)</t>
    </r>
  </si>
  <si>
    <t>12.26.</t>
  </si>
  <si>
    <r>
      <t xml:space="preserve">Сухой остаток </t>
    </r>
    <r>
      <rPr>
        <sz val="8"/>
        <rFont val="Times New Roman"/>
        <family val="1"/>
        <charset val="204"/>
      </rPr>
      <t>(физико-химический м-д)</t>
    </r>
  </si>
  <si>
    <t>12.27.</t>
  </si>
  <si>
    <r>
      <t xml:space="preserve">Кальций </t>
    </r>
    <r>
      <rPr>
        <sz val="8"/>
        <rFont val="Times New Roman"/>
        <family val="1"/>
        <charset val="204"/>
      </rPr>
      <t>(физико-химический м-д)</t>
    </r>
  </si>
  <si>
    <t>12.28</t>
  </si>
  <si>
    <r>
      <t xml:space="preserve">БПК </t>
    </r>
    <r>
      <rPr>
        <sz val="8"/>
        <rFont val="Times New Roman"/>
        <family val="1"/>
        <charset val="204"/>
      </rPr>
      <t>(физико-химический м-д)</t>
    </r>
  </si>
  <si>
    <t>Исследование соскобов, санитарных смывов</t>
  </si>
  <si>
    <t>13.1.</t>
  </si>
  <si>
    <t>Микробиологическое исследование (за 1 смыв)</t>
  </si>
  <si>
    <t>13.2.</t>
  </si>
  <si>
    <t>Качество дезинфекции (за 1 смыв)</t>
  </si>
  <si>
    <t>13.3.</t>
  </si>
  <si>
    <t>Исследование соскобов со стен холодильных камер на плесени (1 камера)</t>
  </si>
  <si>
    <t>13.4.</t>
  </si>
  <si>
    <t>Микробиологическое исследование воздуха (бакобсемененность)</t>
  </si>
  <si>
    <t>13.4.1.</t>
  </si>
  <si>
    <t>Микробиологическое исследование воздуха (плесень)</t>
  </si>
  <si>
    <t>Паразитологические исследования</t>
  </si>
  <si>
    <t>14.1.</t>
  </si>
  <si>
    <r>
      <t xml:space="preserve">Пчелы-акарапидоз,нозематоз,браулез,варроатоз (одна пчелосемья) </t>
    </r>
    <r>
      <rPr>
        <sz val="8"/>
        <rFont val="Times New Roman"/>
        <family val="1"/>
        <charset val="204"/>
      </rPr>
      <t>(микроскопический м-д)</t>
    </r>
  </si>
  <si>
    <r>
      <t xml:space="preserve">Пироплазмоз,токсоплазмоз                          </t>
    </r>
    <r>
      <rPr>
        <sz val="8"/>
        <rFont val="Times New Roman"/>
        <family val="1"/>
        <charset val="204"/>
      </rPr>
      <t>(микроскопический м-д)</t>
    </r>
  </si>
  <si>
    <r>
      <t xml:space="preserve">Ихтиопатологические исследования (паразитарная чистота рыбы) </t>
    </r>
    <r>
      <rPr>
        <sz val="8"/>
        <rFont val="Times New Roman"/>
        <family val="1"/>
        <charset val="204"/>
      </rPr>
      <t>(патологоанатомический, микроскопический м-д)</t>
    </r>
  </si>
  <si>
    <r>
      <t xml:space="preserve">Трихинеллез  </t>
    </r>
    <r>
      <rPr>
        <sz val="8"/>
        <rFont val="Times New Roman"/>
        <family val="1"/>
        <charset val="204"/>
      </rPr>
      <t>(микроскопический м-д)</t>
    </r>
  </si>
  <si>
    <r>
      <t>Исследование на паразитарные болезни мяса и мясопродуктов (эхиноккоз, саркотцестоз,и др.)</t>
    </r>
    <r>
      <rPr>
        <sz val="8"/>
        <rFont val="Times New Roman"/>
        <family val="1"/>
        <charset val="204"/>
      </rPr>
      <t xml:space="preserve">  (микроскопический м-д)</t>
    </r>
  </si>
  <si>
    <t>Копрологические исследования (животных)</t>
  </si>
  <si>
    <t>Радиологические исследования</t>
  </si>
  <si>
    <t>15.1.</t>
  </si>
  <si>
    <t>Измерение гамма-фона местности при отборе проб(в 3-х точках)</t>
  </si>
  <si>
    <t>15.2.</t>
  </si>
  <si>
    <t xml:space="preserve">Измерение мощности гамма-излучения </t>
  </si>
  <si>
    <t>15.3.</t>
  </si>
  <si>
    <t>Измерения шума</t>
  </si>
  <si>
    <t>15.4.</t>
  </si>
  <si>
    <t>Измерение  освещенности</t>
  </si>
  <si>
    <t xml:space="preserve">Исследование кормов и кормовых добавок </t>
  </si>
  <si>
    <t>16.1.</t>
  </si>
  <si>
    <t>Санитарно-микологическое исследование кормов</t>
  </si>
  <si>
    <t>16.2.</t>
  </si>
  <si>
    <r>
      <t xml:space="preserve">Определение выделение микроскопических грибов в кормах </t>
    </r>
    <r>
      <rPr>
        <sz val="8"/>
        <rFont val="Times New Roman"/>
        <family val="1"/>
        <charset val="204"/>
      </rPr>
      <t>(микроскопическийм-д)</t>
    </r>
  </si>
  <si>
    <t>16.3.</t>
  </si>
  <si>
    <t>Определение токсичности кормов биопробой на белых мышах, кроликах</t>
  </si>
  <si>
    <t>16.4.</t>
  </si>
  <si>
    <t>Определение токсичности биопробой на инфузориях стилониях</t>
  </si>
  <si>
    <t>16.5.</t>
  </si>
  <si>
    <r>
      <t xml:space="preserve">Определение спор головневых грибов </t>
    </r>
    <r>
      <rPr>
        <sz val="8"/>
        <rFont val="Times New Roman"/>
        <family val="1"/>
        <charset val="204"/>
      </rPr>
      <t>(визуальный м-д)</t>
    </r>
  </si>
  <si>
    <t>16.6.</t>
  </si>
  <si>
    <r>
      <t>Определение содержания спорыньи в к/кормах и продуктах переработки зерна</t>
    </r>
    <r>
      <rPr>
        <sz val="8"/>
        <rFont val="Times New Roman"/>
        <family val="1"/>
        <charset val="204"/>
      </rPr>
      <t xml:space="preserve"> (визуальный м-д)</t>
    </r>
  </si>
  <si>
    <t>16.7.</t>
  </si>
  <si>
    <r>
      <t xml:space="preserve">Определение нитритов </t>
    </r>
    <r>
      <rPr>
        <i/>
        <sz val="9"/>
        <rFont val="Times New Roman"/>
        <family val="1"/>
        <charset val="204"/>
      </rPr>
      <t>фотометрический метод</t>
    </r>
  </si>
  <si>
    <t>16.8.</t>
  </si>
  <si>
    <r>
      <t xml:space="preserve">Определение концентрации нитратов микропроцессорным измерителем "Микон" </t>
    </r>
    <r>
      <rPr>
        <i/>
        <sz val="11"/>
        <rFont val="Times New Roman"/>
        <family val="1"/>
        <charset val="204"/>
      </rPr>
      <t>(ионометрический м-д)</t>
    </r>
  </si>
  <si>
    <t>16.9.</t>
  </si>
  <si>
    <r>
      <t xml:space="preserve">Определение перекисного числа в кормах животного и растительного происхождения </t>
    </r>
    <r>
      <rPr>
        <i/>
        <sz val="12"/>
        <rFont val="Times New Roman"/>
        <family val="1"/>
        <charset val="204"/>
      </rPr>
      <t>(химический м-д)</t>
    </r>
  </si>
  <si>
    <t>16.10.</t>
  </si>
  <si>
    <r>
      <t xml:space="preserve">Определение кислотного числа в кормах животного и растительного происхождения </t>
    </r>
    <r>
      <rPr>
        <sz val="8"/>
        <rFont val="Times New Roman"/>
        <family val="1"/>
        <charset val="204"/>
      </rPr>
      <t>(химический м-д)</t>
    </r>
  </si>
  <si>
    <t>16.11.</t>
  </si>
  <si>
    <r>
      <t xml:space="preserve">Механических примесей                              </t>
    </r>
    <r>
      <rPr>
        <sz val="8"/>
        <rFont val="Times New Roman"/>
        <family val="1"/>
        <charset val="204"/>
      </rPr>
      <t>(физико-химический м-д)</t>
    </r>
  </si>
  <si>
    <t>16.12.</t>
  </si>
  <si>
    <r>
      <t>Определение минеральных примесей нерастворимых в соляной кислоте</t>
    </r>
    <r>
      <rPr>
        <sz val="8"/>
        <rFont val="Times New Roman"/>
        <family val="1"/>
        <charset val="204"/>
      </rPr>
      <t xml:space="preserve"> (физико-химический м-д)</t>
    </r>
  </si>
  <si>
    <t>16.13.</t>
  </si>
  <si>
    <r>
      <t xml:space="preserve">Определение уреазы </t>
    </r>
    <r>
      <rPr>
        <sz val="8"/>
        <rFont val="Times New Roman"/>
        <family val="1"/>
        <charset val="204"/>
      </rPr>
      <t>(ионометрический м-д)</t>
    </r>
  </si>
  <si>
    <t>16.14.</t>
  </si>
  <si>
    <r>
      <t xml:space="preserve">Сырого протеина  </t>
    </r>
    <r>
      <rPr>
        <sz val="8"/>
        <rFont val="Times New Roman"/>
        <family val="1"/>
        <charset val="204"/>
      </rPr>
      <t>(физико-химический м-д)</t>
    </r>
  </si>
  <si>
    <t>16.15.</t>
  </si>
  <si>
    <r>
      <t xml:space="preserve">Влаги </t>
    </r>
    <r>
      <rPr>
        <sz val="8"/>
        <rFont val="Times New Roman"/>
        <family val="1"/>
        <charset val="204"/>
      </rPr>
      <t>(физико-химический м-д)</t>
    </r>
  </si>
  <si>
    <t>16.16.</t>
  </si>
  <si>
    <r>
      <t>Кальция</t>
    </r>
    <r>
      <rPr>
        <sz val="8"/>
        <rFont val="Times New Roman"/>
        <family val="1"/>
        <charset val="204"/>
      </rPr>
      <t xml:space="preserve"> (физико-химический м-д)</t>
    </r>
  </si>
  <si>
    <t>16.17.</t>
  </si>
  <si>
    <r>
      <t xml:space="preserve">Фосфора </t>
    </r>
    <r>
      <rPr>
        <sz val="8"/>
        <rFont val="Times New Roman"/>
        <family val="1"/>
        <charset val="204"/>
      </rPr>
      <t>(физико-химический м-д)</t>
    </r>
  </si>
  <si>
    <t>16.18.</t>
  </si>
  <si>
    <t>Органолептические показатели</t>
  </si>
  <si>
    <t>16.19.</t>
  </si>
  <si>
    <r>
      <t xml:space="preserve">Зола  </t>
    </r>
    <r>
      <rPr>
        <sz val="8"/>
        <rFont val="Times New Roman"/>
        <family val="1"/>
        <charset val="204"/>
      </rPr>
      <t>(физико-химический м-д)</t>
    </r>
  </si>
  <si>
    <t>16.20.</t>
  </si>
  <si>
    <r>
      <t xml:space="preserve">Жир </t>
    </r>
    <r>
      <rPr>
        <sz val="8"/>
        <rFont val="Times New Roman"/>
        <family val="1"/>
        <charset val="204"/>
      </rPr>
      <t xml:space="preserve"> (физико-химический м-д)</t>
    </r>
  </si>
  <si>
    <t>16.21.</t>
  </si>
  <si>
    <t>16.22.</t>
  </si>
  <si>
    <r>
      <t xml:space="preserve">Сырой клетчатки </t>
    </r>
    <r>
      <rPr>
        <sz val="8"/>
        <rFont val="Times New Roman"/>
        <family val="1"/>
        <charset val="204"/>
      </rPr>
      <t xml:space="preserve"> (физико-химический м-д)</t>
    </r>
  </si>
  <si>
    <t>16.23.</t>
  </si>
  <si>
    <r>
      <t xml:space="preserve">Определение  органических кислот при порче кормов (уксусная, масляная, молочная) </t>
    </r>
    <r>
      <rPr>
        <sz val="8"/>
        <rFont val="Times New Roman"/>
        <family val="1"/>
        <charset val="204"/>
      </rPr>
      <t xml:space="preserve"> (физико-химический м-д)</t>
    </r>
  </si>
  <si>
    <t>16.24.</t>
  </si>
  <si>
    <t>16.25.</t>
  </si>
  <si>
    <r>
      <rPr>
        <sz val="11"/>
        <rFont val="Times New Roman"/>
        <family val="1"/>
        <charset val="204"/>
      </rPr>
      <t>Крупность помола в кормах</t>
    </r>
    <r>
      <rPr>
        <sz val="7"/>
        <rFont val="Times New Roman"/>
        <family val="1"/>
        <charset val="204"/>
      </rPr>
      <t>(физико-химический м-д)</t>
    </r>
  </si>
  <si>
    <t>16.26.</t>
  </si>
  <si>
    <r>
      <t xml:space="preserve">Мочевина  </t>
    </r>
    <r>
      <rPr>
        <sz val="8"/>
        <rFont val="Times New Roman"/>
        <family val="1"/>
        <charset val="204"/>
      </rPr>
      <t>(физико-химический м-д)</t>
    </r>
  </si>
  <si>
    <t>16.27.</t>
  </si>
  <si>
    <r>
      <t xml:space="preserve">Синильная кислота </t>
    </r>
    <r>
      <rPr>
        <sz val="8"/>
        <rFont val="Times New Roman"/>
        <family val="1"/>
        <charset val="204"/>
      </rPr>
      <t>(физико-химический м-д)</t>
    </r>
  </si>
  <si>
    <t>16.28.</t>
  </si>
  <si>
    <r>
      <t xml:space="preserve">Фосфорорганические соединения </t>
    </r>
    <r>
      <rPr>
        <sz val="8"/>
        <rFont val="Times New Roman"/>
        <family val="1"/>
        <charset val="204"/>
      </rPr>
      <t>(фотометрический м-д)</t>
    </r>
  </si>
  <si>
    <t>16.29.</t>
  </si>
  <si>
    <r>
      <t xml:space="preserve">Алкалоиды  </t>
    </r>
    <r>
      <rPr>
        <sz val="8"/>
        <rFont val="Times New Roman"/>
        <family val="1"/>
        <charset val="204"/>
      </rPr>
      <t>(физико-химический м-д)</t>
    </r>
  </si>
  <si>
    <t>16.30.</t>
  </si>
  <si>
    <r>
      <t xml:space="preserve">Определение госсипола                               </t>
    </r>
    <r>
      <rPr>
        <sz val="8"/>
        <rFont val="Times New Roman"/>
        <family val="1"/>
        <charset val="204"/>
      </rPr>
      <t>(физико-химический м-д)</t>
    </r>
  </si>
  <si>
    <t>16.31.</t>
  </si>
  <si>
    <r>
      <t xml:space="preserve">Поваренная  соль </t>
    </r>
    <r>
      <rPr>
        <sz val="8"/>
        <rFont val="Times New Roman"/>
        <family val="1"/>
        <charset val="204"/>
      </rPr>
      <t>(физико-химический м-д)</t>
    </r>
  </si>
  <si>
    <t>16.32.</t>
  </si>
  <si>
    <t>16.33.</t>
  </si>
  <si>
    <r>
      <t xml:space="preserve">Синегнойная палочка </t>
    </r>
    <r>
      <rPr>
        <sz val="8"/>
        <rFont val="Times New Roman"/>
        <family val="1"/>
        <charset val="204"/>
      </rPr>
      <t>(бактериологический м-д)</t>
    </r>
  </si>
  <si>
    <r>
      <t xml:space="preserve">Кишечная палочка </t>
    </r>
    <r>
      <rPr>
        <sz val="8"/>
        <rFont val="Times New Roman"/>
        <family val="1"/>
        <charset val="204"/>
      </rPr>
      <t xml:space="preserve">(бактериологический м-д) </t>
    </r>
  </si>
  <si>
    <r>
      <t xml:space="preserve">Пастереллы </t>
    </r>
    <r>
      <rPr>
        <sz val="8"/>
        <rFont val="Times New Roman"/>
        <family val="1"/>
        <charset val="204"/>
      </rPr>
      <t>(бактериологический м-д)</t>
    </r>
  </si>
  <si>
    <r>
      <t xml:space="preserve">Энтерококки </t>
    </r>
    <r>
      <rPr>
        <sz val="8"/>
        <rFont val="Times New Roman"/>
        <family val="1"/>
        <charset val="204"/>
      </rPr>
      <t>(бактериологический м-д)</t>
    </r>
  </si>
  <si>
    <r>
      <t xml:space="preserve">Протей </t>
    </r>
    <r>
      <rPr>
        <sz val="8"/>
        <rFont val="Times New Roman"/>
        <family val="1"/>
        <charset val="204"/>
      </rPr>
      <t>(бактериологический м-д)</t>
    </r>
  </si>
  <si>
    <r>
      <t xml:space="preserve">Токсинообразующие анаэробы </t>
    </r>
    <r>
      <rPr>
        <sz val="8"/>
        <rFont val="Times New Roman"/>
        <family val="1"/>
        <charset val="204"/>
      </rPr>
      <t>(бактериологический м-д)</t>
    </r>
  </si>
  <si>
    <r>
      <rPr>
        <sz val="11"/>
        <rFont val="Times New Roman"/>
        <family val="1"/>
        <charset val="204"/>
      </rPr>
      <t>Общемикробное число</t>
    </r>
    <r>
      <rPr>
        <sz val="12"/>
        <rFont val="Times New Roman"/>
        <family val="1"/>
        <charset val="204"/>
      </rPr>
      <t xml:space="preserve"> </t>
    </r>
    <r>
      <rPr>
        <sz val="8"/>
        <rFont val="Times New Roman"/>
        <family val="1"/>
        <charset val="204"/>
      </rPr>
      <t>(бактериологический м-д)</t>
    </r>
  </si>
  <si>
    <t>Бактериологическое  исследование на соответствие требованиям  «Правил бак. исслед. кормов»</t>
  </si>
  <si>
    <r>
      <t xml:space="preserve">Определение ботулинических токсинов </t>
    </r>
    <r>
      <rPr>
        <sz val="9"/>
        <rFont val="Times New Roman"/>
        <family val="1"/>
        <charset val="204"/>
      </rPr>
      <t>(микробиологический м-д)</t>
    </r>
  </si>
  <si>
    <r>
      <rPr>
        <sz val="11"/>
        <rFont val="Times New Roman"/>
        <family val="1"/>
        <charset val="204"/>
      </rPr>
      <t xml:space="preserve">Массовая доля каротина </t>
    </r>
    <r>
      <rPr>
        <sz val="8"/>
        <rFont val="Times New Roman"/>
        <family val="1"/>
        <charset val="204"/>
      </rPr>
      <t>(физико-химический м-д)</t>
    </r>
  </si>
  <si>
    <r>
      <rPr>
        <sz val="11"/>
        <rFont val="Times New Roman"/>
        <family val="1"/>
        <charset val="204"/>
      </rPr>
      <t>Массовая доля крахмала</t>
    </r>
    <r>
      <rPr>
        <sz val="8"/>
        <rFont val="Times New Roman"/>
        <family val="1"/>
        <charset val="204"/>
      </rPr>
      <t>(физико-химический м-д)</t>
    </r>
  </si>
  <si>
    <r>
      <rPr>
        <sz val="11"/>
        <rFont val="Times New Roman"/>
        <family val="1"/>
        <charset val="204"/>
      </rPr>
      <t xml:space="preserve">Массовая доля антиокислителей </t>
    </r>
    <r>
      <rPr>
        <sz val="9"/>
        <rFont val="Times New Roman"/>
        <family val="1"/>
        <charset val="204"/>
      </rPr>
      <t xml:space="preserve"> (физико-химический м-д)</t>
    </r>
  </si>
  <si>
    <t>Исследования инкубационного яйца</t>
  </si>
  <si>
    <t>17.1.</t>
  </si>
  <si>
    <r>
      <t xml:space="preserve">Определение каратиноидов в яйце            </t>
    </r>
    <r>
      <rPr>
        <sz val="8"/>
        <rFont val="Times New Roman"/>
        <family val="1"/>
        <charset val="204"/>
      </rPr>
      <t>(физико-химический м-д)</t>
    </r>
  </si>
  <si>
    <t>17.2.</t>
  </si>
  <si>
    <r>
      <t xml:space="preserve">Определение витамина "А"                         </t>
    </r>
    <r>
      <rPr>
        <sz val="8"/>
        <rFont val="Times New Roman"/>
        <family val="1"/>
        <charset val="204"/>
      </rPr>
      <t>(физико-химический м-д)</t>
    </r>
  </si>
  <si>
    <t>17.3.</t>
  </si>
  <si>
    <r>
      <t xml:space="preserve">Определение витамина «В2»                      </t>
    </r>
    <r>
      <rPr>
        <sz val="8"/>
        <rFont val="Times New Roman"/>
        <family val="1"/>
        <charset val="204"/>
      </rPr>
      <t xml:space="preserve"> (физико-химический м-д)</t>
    </r>
  </si>
  <si>
    <r>
      <t xml:space="preserve">Вит «А» в печени  </t>
    </r>
    <r>
      <rPr>
        <sz val="8"/>
        <rFont val="Times New Roman"/>
        <family val="1"/>
        <charset val="204"/>
      </rPr>
      <t>(физико-химический м-д)</t>
    </r>
  </si>
  <si>
    <r>
      <t xml:space="preserve">Вит «В2»  в печени </t>
    </r>
    <r>
      <rPr>
        <sz val="8"/>
        <rFont val="Times New Roman"/>
        <family val="1"/>
        <charset val="204"/>
      </rPr>
      <t xml:space="preserve"> (физико-химический м-д)</t>
    </r>
  </si>
  <si>
    <r>
      <t xml:space="preserve">рН  </t>
    </r>
    <r>
      <rPr>
        <sz val="8"/>
        <rFont val="Times New Roman"/>
        <family val="1"/>
        <charset val="204"/>
      </rPr>
      <t xml:space="preserve"> (ионометрический м-д)</t>
    </r>
  </si>
  <si>
    <r>
      <t xml:space="preserve">Соотношение желтка, белка, скорлупы </t>
    </r>
    <r>
      <rPr>
        <sz val="8"/>
        <rFont val="Times New Roman"/>
        <family val="1"/>
        <charset val="204"/>
      </rPr>
      <t>(физический м-д)</t>
    </r>
  </si>
  <si>
    <r>
      <t xml:space="preserve">Толщина скорлупы  </t>
    </r>
    <r>
      <rPr>
        <sz val="8"/>
        <rFont val="Times New Roman"/>
        <family val="1"/>
        <charset val="204"/>
      </rPr>
      <t>(физический м-д)</t>
    </r>
  </si>
  <si>
    <r>
      <t xml:space="preserve">Кислотное число  </t>
    </r>
    <r>
      <rPr>
        <sz val="8"/>
        <rFont val="Times New Roman"/>
        <family val="1"/>
        <charset val="204"/>
      </rPr>
      <t>(химический м-д)</t>
    </r>
  </si>
  <si>
    <t>Дезинфицирующие средства:</t>
  </si>
  <si>
    <t>18.1.</t>
  </si>
  <si>
    <r>
      <t xml:space="preserve">Определение активного хлора в сухой хлорной извести </t>
    </r>
    <r>
      <rPr>
        <sz val="8"/>
        <rFont val="Times New Roman"/>
        <family val="1"/>
        <charset val="204"/>
      </rPr>
      <t>(химический м-д)</t>
    </r>
  </si>
  <si>
    <t>18.2.</t>
  </si>
  <si>
    <r>
      <t xml:space="preserve">Определение активного хлора в растворе  </t>
    </r>
    <r>
      <rPr>
        <sz val="8"/>
        <rFont val="Times New Roman"/>
        <family val="1"/>
        <charset val="204"/>
      </rPr>
      <t>(химический м-д)</t>
    </r>
  </si>
  <si>
    <t>18.3.</t>
  </si>
  <si>
    <r>
      <t xml:space="preserve">Определение действующего вещества в растворе дезинфектанта  </t>
    </r>
    <r>
      <rPr>
        <sz val="8"/>
        <rFont val="Times New Roman"/>
        <family val="1"/>
        <charset val="204"/>
      </rPr>
      <t>(химический м-д)</t>
    </r>
  </si>
  <si>
    <t>Прочие услуги</t>
  </si>
  <si>
    <t>19.1.</t>
  </si>
  <si>
    <t>Консультация  за 0,5 часа, письменные рекомендации</t>
  </si>
  <si>
    <t>1 консультация</t>
  </si>
  <si>
    <t>Оформление и выдача  экспертиз на исследуемый материал</t>
  </si>
  <si>
    <t>экз.</t>
  </si>
  <si>
    <t>Оформление и выдача протокола испытаний продовольствия и сырья животного  и растительного происхождения для целей сертификации</t>
  </si>
  <si>
    <t>Определение качества пестицидов</t>
  </si>
  <si>
    <t>20.1.</t>
  </si>
  <si>
    <t xml:space="preserve">Определение процента содержания действующего вещества   колоритметрическим методом                     </t>
  </si>
  <si>
    <t xml:space="preserve">Определение процента содержания действующего вещества                                                      -методом газовой  хроматографии - </t>
  </si>
  <si>
    <t xml:space="preserve">Определение процента содержания действующего вещества                                                                    -методом жидкостной хроматографии - </t>
  </si>
  <si>
    <t>21.1.</t>
  </si>
  <si>
    <t>Болезнь Ньюкасла</t>
  </si>
  <si>
    <t>методом ИФА</t>
  </si>
  <si>
    <t>21.2.</t>
  </si>
  <si>
    <t>Высокопатогенный грипп А</t>
  </si>
  <si>
    <t>21.2.1.</t>
  </si>
  <si>
    <t>методом ПЦР</t>
  </si>
  <si>
    <t>21.3.</t>
  </si>
  <si>
    <t>Классическая чума свиней</t>
  </si>
  <si>
    <t>21.3.1.</t>
  </si>
  <si>
    <t>21.4.</t>
  </si>
  <si>
    <t>Репродуктивно-респираторный  синдром свиней</t>
  </si>
  <si>
    <t>21.4.1.</t>
  </si>
  <si>
    <t>21.5.</t>
  </si>
  <si>
    <t>Сибирская язва</t>
  </si>
  <si>
    <t>21.5.1.</t>
  </si>
  <si>
    <t>21.6.</t>
  </si>
  <si>
    <t>Африканская чума свиней</t>
  </si>
  <si>
    <t>21.6.1.</t>
  </si>
  <si>
    <t>21.7.</t>
  </si>
  <si>
    <t>Вирусная геморагиическая болезнь кроликов (ВГБК)</t>
  </si>
  <si>
    <t>21.7.1.</t>
  </si>
  <si>
    <t>21.8.</t>
  </si>
  <si>
    <t>Катаральная лихорадка овец (блютанг)</t>
  </si>
  <si>
    <t>21.8.1.</t>
  </si>
  <si>
    <t>Исследование сыворотки крови твердофазным ИФА</t>
  </si>
  <si>
    <t>21.8.2.</t>
  </si>
  <si>
    <t>Исследование крови методом ПЦР</t>
  </si>
  <si>
    <t>Бруцеллез</t>
  </si>
  <si>
    <t>21.10.</t>
  </si>
  <si>
    <t>Лептоспироз</t>
  </si>
  <si>
    <t>21.10.1.</t>
  </si>
  <si>
    <t>21.11.</t>
  </si>
  <si>
    <t>Туберкулез</t>
  </si>
  <si>
    <t>21.11.1.</t>
  </si>
  <si>
    <t xml:space="preserve">Сальмонеллез </t>
  </si>
  <si>
    <t>Бактериологическое исследование</t>
  </si>
  <si>
    <t>меняли</t>
  </si>
  <si>
    <t>Американский гнилец</t>
  </si>
  <si>
    <t>Европейский гнилец</t>
  </si>
  <si>
    <t>Орнитоз методом ПЦР</t>
  </si>
  <si>
    <t>21.16.</t>
  </si>
  <si>
    <t>Листериоз методом ПЦР</t>
  </si>
  <si>
    <t>21.17.</t>
  </si>
  <si>
    <t>Лейкоз КРС методом ПЦР</t>
  </si>
  <si>
    <t>21.17.1</t>
  </si>
  <si>
    <t>Лейкоз КРС методом ИФА</t>
  </si>
  <si>
    <t>21.18.</t>
  </si>
  <si>
    <t>Вирусный ринотрахеит методом ПЦР</t>
  </si>
  <si>
    <t>Узелковый нодулярный дерматит  ПЦР</t>
  </si>
  <si>
    <t>Узелковый нодулярный дерматит  ИФА</t>
  </si>
  <si>
    <t>№                                   п/п</t>
  </si>
  <si>
    <t>Вид услуги</t>
  </si>
  <si>
    <t>НДС  20%               (руб.)</t>
  </si>
  <si>
    <t>Стоимость услуг                                                 (с НДС)   (руб.)</t>
  </si>
  <si>
    <t>22.1.</t>
  </si>
  <si>
    <t>Определение объема выборки (зерна, муки, крупы)</t>
  </si>
  <si>
    <t>1 проба</t>
  </si>
  <si>
    <t>22.2.</t>
  </si>
  <si>
    <t>Отбор точечных проб ручным щупом:</t>
  </si>
  <si>
    <t>22.2.1.</t>
  </si>
  <si>
    <t>с автомобилей</t>
  </si>
  <si>
    <t>22.2.2.</t>
  </si>
  <si>
    <t>Хранящихся насыпью в складах, силосах элеватора, при погрузке и выгрузке вагонов</t>
  </si>
  <si>
    <t>22.2.3.</t>
  </si>
  <si>
    <t>из зашитых мешков</t>
  </si>
  <si>
    <t>22.2.4.</t>
  </si>
  <si>
    <t>из струи перемещаемого продукта</t>
  </si>
  <si>
    <t>22.3.</t>
  </si>
  <si>
    <t>Составление объединенной пробы</t>
  </si>
  <si>
    <t>22.3.1.</t>
  </si>
  <si>
    <t>зерна</t>
  </si>
  <si>
    <t>22.3.2.</t>
  </si>
  <si>
    <t>муки, крупы</t>
  </si>
  <si>
    <t>22.3.3.</t>
  </si>
  <si>
    <t>комбикорм, жмыха, шрота, премикса</t>
  </si>
  <si>
    <t>22.4.</t>
  </si>
  <si>
    <t>Выделение средних проб из объединенной</t>
  </si>
  <si>
    <t>22.4.1.</t>
  </si>
  <si>
    <t>зерна, муки, крупы</t>
  </si>
  <si>
    <t>22.4.2.</t>
  </si>
  <si>
    <t>комбикорма, жмыха, шрота, премикса</t>
  </si>
  <si>
    <t>Определение зараженности хлебных запасов путем просеивания средней пробы:</t>
  </si>
  <si>
    <t>зерна в явной форме</t>
  </si>
  <si>
    <t>1 исследование</t>
  </si>
  <si>
    <t>зерно</t>
  </si>
  <si>
    <t>22.5.2.</t>
  </si>
  <si>
    <t>зерна в скрытой форме</t>
  </si>
  <si>
    <t>1  исследование</t>
  </si>
  <si>
    <t>22.5.3.</t>
  </si>
  <si>
    <t>муки, отрубей</t>
  </si>
  <si>
    <t>крупы</t>
  </si>
  <si>
    <t>22.5.5.</t>
  </si>
  <si>
    <t>22.5.6.</t>
  </si>
  <si>
    <t>макаронных изделий</t>
  </si>
  <si>
    <t>1исследование</t>
  </si>
  <si>
    <t>Определение загрязненности мертвыми насекомыми-вредителями путем просеивания средней пробы</t>
  </si>
  <si>
    <t>Определение металломагнитной примеси</t>
  </si>
  <si>
    <t>зерна,муки,крупы, отрубей</t>
  </si>
  <si>
    <t>22.7.2.</t>
  </si>
  <si>
    <t>22.7.3.</t>
  </si>
  <si>
    <t>Определение натуры с применением пурки</t>
  </si>
  <si>
    <t>Определение насыпной плотности, "масса гектолитра"</t>
  </si>
  <si>
    <t>Выделение навесок для анализов</t>
  </si>
  <si>
    <t>муки, крупы, отрубей</t>
  </si>
  <si>
    <t>22.10.3.</t>
  </si>
  <si>
    <t>Определение влажности воздушно-тепловым методом:</t>
  </si>
  <si>
    <t>с предварительным подсушиванием</t>
  </si>
  <si>
    <t xml:space="preserve">без предварительного подсушивания  </t>
  </si>
  <si>
    <t>кукурузы в початках</t>
  </si>
  <si>
    <t>цвет</t>
  </si>
  <si>
    <t>запах в целом зерне</t>
  </si>
  <si>
    <t>запах в целом зерне с прогревом</t>
  </si>
  <si>
    <t>запах в целом зерне с пропариванием</t>
  </si>
  <si>
    <t>запах в размолотом зерне с прогревом</t>
  </si>
  <si>
    <t>запах в размолотом зерне с пропариванием</t>
  </si>
  <si>
    <t>запах муки, крупы с прогревом пробы</t>
  </si>
  <si>
    <t>запах муки, крупы без прогрева пробы</t>
  </si>
  <si>
    <t>запах комбикорма, жмыха, шрота, премикса</t>
  </si>
  <si>
    <t>вкус муки, крупы</t>
  </si>
  <si>
    <t>Определение минеральной примеси методом ручной разборки:</t>
  </si>
  <si>
    <t>Зерна</t>
  </si>
  <si>
    <t>Крупы,  муки, отрубей, хлебобулочных и макаронных изделий</t>
  </si>
  <si>
    <t>22.14.</t>
  </si>
  <si>
    <t>Определение общего и фракционного содержания  зерновой примеси методом ручной разборки.</t>
  </si>
  <si>
    <t>Определение масличной примеси методом ручной разборки.</t>
  </si>
  <si>
    <t>Определение содержания поврежденных зёрен методом ручной разборки.</t>
  </si>
  <si>
    <t>Определение содержания сорной примеси методом ручной разборки.</t>
  </si>
  <si>
    <t>Определение содержания неошелушенных семян методом ручной разборки.</t>
  </si>
  <si>
    <t>22.19.</t>
  </si>
  <si>
    <t>22.20.</t>
  </si>
  <si>
    <t>Определение вредной примеси методом ручной разборки.</t>
  </si>
  <si>
    <t>22.21.</t>
  </si>
  <si>
    <t>Определение особо учитываемой примеси методом ручной разборки.</t>
  </si>
  <si>
    <t>22.22.</t>
  </si>
  <si>
    <t>Определение трудноотделимой примеси методом ручной разборки.</t>
  </si>
  <si>
    <t>22.23.</t>
  </si>
  <si>
    <t>Определение содержания фузариозных и розовоокрашенных зерен методом ручной разборки.</t>
  </si>
  <si>
    <t>22.24.</t>
  </si>
  <si>
    <t>Определение содержания испорченных и поврежденных зерен методом ручной разборки.</t>
  </si>
  <si>
    <t>22.25.</t>
  </si>
  <si>
    <t>Определение содержания органической примеси методом ручной разборки.</t>
  </si>
  <si>
    <t>22.26.</t>
  </si>
  <si>
    <t>Определение содержания пожелтевших зерен риса методом ручной разборки.</t>
  </si>
  <si>
    <t>Определение содержания глютинозных зерен риса методом ручной разборки.</t>
  </si>
  <si>
    <t>Определение содержания красных зерен риса методом ручной разборки.</t>
  </si>
  <si>
    <t>22.29.</t>
  </si>
  <si>
    <t>Определение содержания семян, поврежденных гороховой зерновкой и листоверткой методом ручной разборки.</t>
  </si>
  <si>
    <t>Определение недодира (перловая и ячневая крупа) методом ручной разборки:</t>
  </si>
  <si>
    <t>без окрашивания</t>
  </si>
  <si>
    <t>метод окрашивания марганцовокислым калием</t>
  </si>
  <si>
    <t>Определение лузжистости методом ручной разборки.</t>
  </si>
  <si>
    <t>Определение стекловидности методами:</t>
  </si>
  <si>
    <t>по результатам осмотра среза зерна</t>
  </si>
  <si>
    <t>на диафаноскопе</t>
  </si>
  <si>
    <t>Определение типового состава методом ручной разборки навески.</t>
  </si>
  <si>
    <t>Определение пленчатости при определении пленок вручную.</t>
  </si>
  <si>
    <t>Определение массовой доли ядра (с учетом показателей, входящих в формулу)  расчетным методом.</t>
  </si>
  <si>
    <t>22.36.</t>
  </si>
  <si>
    <t>Определение количества и качества клейковины ручным способом методом отмывки:</t>
  </si>
  <si>
    <t>в зерне</t>
  </si>
  <si>
    <t>в муке</t>
  </si>
  <si>
    <t xml:space="preserve">Определение содержания сырой клейковины в пшенице и пшеничной муке, поставляемой для экспорта, ручной  метод </t>
  </si>
  <si>
    <t>Определение числа падения (без влажности) методом определения числа падения.</t>
  </si>
  <si>
    <t>Определение зерен, поврежденных клопом черепашкой визуальным методом.</t>
  </si>
  <si>
    <t>Определение зольности.</t>
  </si>
  <si>
    <t>Определение белизны с применением фотоэлектрического прибора.</t>
  </si>
  <si>
    <t>Определение крупности методом просеивания навески на рассеве лабораторном:</t>
  </si>
  <si>
    <t>помола и номера крупы</t>
  </si>
  <si>
    <t>зерна, помола муки</t>
  </si>
  <si>
    <t>комбикормов (компонентов)</t>
  </si>
  <si>
    <t>Определение содержания мелких зерен расчетно-весовым методом.</t>
  </si>
  <si>
    <t>Определение развариваемости крупы, хлопьев методом варки.</t>
  </si>
  <si>
    <t>Определение кислотности:</t>
  </si>
  <si>
    <t>зерна (по болтушке)</t>
  </si>
  <si>
    <t>муки, хлебобулочных и макаронных изделий</t>
  </si>
  <si>
    <t>Определение кислотного числа масла методом титрования масла извлеченного из семян прессованием.</t>
  </si>
  <si>
    <t>Определение масличности по прибору ЯМР</t>
  </si>
  <si>
    <t>Внешний вид, цвет, запах, поверхность, форма хлебобулочных и макаронных изделий визуальным методом.</t>
  </si>
  <si>
    <t>Состояние мякиша методом ручного надавливания.</t>
  </si>
  <si>
    <t>Пористость мякиша с применением прибора Журавлева.</t>
  </si>
  <si>
    <t>Пробная выпечка хлеба</t>
  </si>
  <si>
    <t xml:space="preserve">Определение картофельной болезни хлеба </t>
  </si>
  <si>
    <t>Определение массовой доли сахара в хлебобулочных изделиях.</t>
  </si>
  <si>
    <t>Определение массовой доли жира в хлебобулочных изделиях.</t>
  </si>
  <si>
    <t>Щелочность в кондитерских изделиях.</t>
  </si>
  <si>
    <t>Определение сухого вещества, перешедшего в варочную воду методом высушивания.</t>
  </si>
  <si>
    <t>Определение содержания лома, крошки и деформированных изделий (в макаронных изделиях) методом ручной разборки.</t>
  </si>
  <si>
    <t>Определение состояния изделий после варки (в макаронных изделиях) визуалным методом.</t>
  </si>
  <si>
    <t xml:space="preserve">Размол зерна на лабораторной мельнице (для пробной выпечки хлеба, реологических свойств теста).   </t>
  </si>
  <si>
    <t>Определение реологических свойств теста (растяжимость, вид кривой, устойчивость к деформации, энергия деформации, k эластичности) с применением альвеографа.</t>
  </si>
  <si>
    <t>Содержание обменной энергии расчетным методом.</t>
  </si>
  <si>
    <t>Содержание в сухом веществе сырой клетчатки.</t>
  </si>
  <si>
    <t>Содержание в сухом веществе сырого протеина.</t>
  </si>
  <si>
    <t>Содержание в сухом веществе сырого жира.</t>
  </si>
  <si>
    <t>Определение кислотного числа жира.</t>
  </si>
  <si>
    <t>Определение массовой доли поваренной соли.</t>
  </si>
  <si>
    <t>Определение массовой доли кальция.</t>
  </si>
  <si>
    <t>Определение массовой доли фосфора.</t>
  </si>
  <si>
    <t xml:space="preserve">Зола, нерастворимая в 10% соляной кислоте </t>
  </si>
  <si>
    <t>Оказание консультационно-методической помощи в определении качества зерна и продуктов его переработки.</t>
  </si>
  <si>
    <t>стоимость 1 чел.</t>
  </si>
  <si>
    <t>оформление сертификата качества</t>
  </si>
  <si>
    <t>1 экземпляр</t>
  </si>
  <si>
    <t>оформление протокола испытания</t>
  </si>
  <si>
    <t>22.75.</t>
  </si>
  <si>
    <t>Полное качество пшеницы  по ГОСТ Р 52554-2006</t>
  </si>
  <si>
    <t>22.76.</t>
  </si>
  <si>
    <t>Полное качество ржи  по ГОСТ Р 53049-2008</t>
  </si>
  <si>
    <t>22.77.</t>
  </si>
  <si>
    <t>Полное качество ячменя  по ГОСТ 28672-90</t>
  </si>
  <si>
    <t>22.78.</t>
  </si>
  <si>
    <t>Полное качество семян подсолнечника   по ГОСТ 22391-89 (без масличности)</t>
  </si>
  <si>
    <t>22.79.</t>
  </si>
  <si>
    <t>Полное качество гороха  по ГОСТ 28674-90</t>
  </si>
  <si>
    <t>22.80.</t>
  </si>
  <si>
    <t>Полное качество гречихи  по ГОСТ 56105-2014</t>
  </si>
  <si>
    <t>22.81.</t>
  </si>
  <si>
    <t>Полное качество муки пшеничной   по ГОСТ Р 52189-2003</t>
  </si>
  <si>
    <t>22.82.</t>
  </si>
  <si>
    <t>Полное качество муки ржаной  по ГОСТ Р 52809-2007</t>
  </si>
  <si>
    <t>Агрохимические исследования</t>
  </si>
  <si>
    <t>23.1.</t>
  </si>
  <si>
    <r>
      <t xml:space="preserve">Влажность </t>
    </r>
    <r>
      <rPr>
        <sz val="9"/>
        <rFont val="Times New Roman"/>
        <family val="1"/>
        <charset val="204"/>
      </rPr>
      <t>гравиметрическим методом</t>
    </r>
  </si>
  <si>
    <t>Определение кислотности рН биохимическим методом</t>
  </si>
  <si>
    <r>
      <t xml:space="preserve">Определение  рН солевой вытяжки </t>
    </r>
    <r>
      <rPr>
        <sz val="9"/>
        <rFont val="Times New Roman"/>
        <family val="1"/>
        <charset val="204"/>
      </rPr>
      <t>потенциометрическим методом</t>
    </r>
  </si>
  <si>
    <r>
      <t xml:space="preserve">Определение  рН водной вытяжки </t>
    </r>
    <r>
      <rPr>
        <sz val="9"/>
        <rFont val="Times New Roman"/>
        <family val="1"/>
        <charset val="204"/>
      </rPr>
      <t>потенциометрическим методом</t>
    </r>
  </si>
  <si>
    <t>Емкость катионного обмена</t>
  </si>
  <si>
    <t>Массовая доля органического вещества (гумус) фотометрическим методом</t>
  </si>
  <si>
    <t>почва</t>
  </si>
  <si>
    <t>Определение  органического вещества (гумус) гравиметрическим  методом</t>
  </si>
  <si>
    <t>Массовая доля подвижных соединений фосфора  фотометрическим методом</t>
  </si>
  <si>
    <t>Определение подвижных соединений фосфора  по  методу Чирикова</t>
  </si>
  <si>
    <t>Массовая доля подвижных соединений калия пламенным фотометрическим методом</t>
  </si>
  <si>
    <t>Определение подвижных соединений калия  по  методу Чирикова</t>
  </si>
  <si>
    <t>Массовая доля обменного аммония фотометрическим методом</t>
  </si>
  <si>
    <r>
      <t xml:space="preserve">Массовая доля нитратов                               </t>
    </r>
    <r>
      <rPr>
        <sz val="9"/>
        <rFont val="Times New Roman"/>
        <family val="1"/>
        <charset val="204"/>
      </rPr>
      <t>ионометрическим методом</t>
    </r>
  </si>
  <si>
    <r>
      <t xml:space="preserve">Определение нитратов                                  </t>
    </r>
    <r>
      <rPr>
        <sz val="9"/>
        <rFont val="Times New Roman"/>
        <family val="1"/>
        <charset val="204"/>
      </rPr>
      <t>фотометрическим методом</t>
    </r>
  </si>
  <si>
    <r>
      <t xml:space="preserve">Массовая доля нитратов иона хлорида </t>
    </r>
    <r>
      <rPr>
        <sz val="9"/>
        <rFont val="Times New Roman"/>
        <family val="1"/>
        <charset val="204"/>
      </rPr>
      <t>титриметрическим методом</t>
    </r>
  </si>
  <si>
    <r>
      <t xml:space="preserve"> Массовая доля валового фосфора </t>
    </r>
    <r>
      <rPr>
        <sz val="9"/>
        <rFont val="Times New Roman"/>
        <family val="1"/>
        <charset val="204"/>
      </rPr>
      <t>фотометрическим методом</t>
    </r>
  </si>
  <si>
    <t xml:space="preserve"> Определение валового фосфора по методу Гинзбурга</t>
  </si>
  <si>
    <r>
      <t xml:space="preserve">Массовая доля валового калия                    </t>
    </r>
    <r>
      <rPr>
        <sz val="9"/>
        <rFont val="Times New Roman"/>
        <family val="1"/>
        <charset val="204"/>
      </rPr>
      <t>( м-д пламенной фотометрии)</t>
    </r>
  </si>
  <si>
    <t>Определение валового калия по методу Бурьянова</t>
  </si>
  <si>
    <r>
      <t>Массовая доля иона сульфата</t>
    </r>
    <r>
      <rPr>
        <sz val="9"/>
        <rFont val="Times New Roman"/>
        <family val="1"/>
        <charset val="204"/>
      </rPr>
      <t xml:space="preserve"> гравиметрическим методом</t>
    </r>
  </si>
  <si>
    <t>Определение иона сульфата турбидиметрическим методом</t>
  </si>
  <si>
    <r>
      <t xml:space="preserve">Массовая доля натрия                                  </t>
    </r>
    <r>
      <rPr>
        <sz val="9"/>
        <rFont val="Times New Roman"/>
        <family val="1"/>
        <charset val="204"/>
      </rPr>
      <t xml:space="preserve">м-д пламенная фотометрия </t>
    </r>
  </si>
  <si>
    <r>
      <t xml:space="preserve">Массовая доля калия                                     </t>
    </r>
    <r>
      <rPr>
        <sz val="9"/>
        <rFont val="Times New Roman"/>
        <family val="1"/>
        <charset val="204"/>
      </rPr>
      <t>м-д пламенная фотометрия</t>
    </r>
  </si>
  <si>
    <r>
      <t xml:space="preserve">Массовая доля кальция                                </t>
    </r>
    <r>
      <rPr>
        <sz val="9"/>
        <rFont val="Times New Roman"/>
        <family val="1"/>
        <charset val="204"/>
      </rPr>
      <t>м-д</t>
    </r>
    <r>
      <rPr>
        <sz val="12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 xml:space="preserve">пламенная фотометрия </t>
    </r>
  </si>
  <si>
    <t>Определение массовой доли обменного кальция атомно-абсорбционным методом</t>
  </si>
  <si>
    <r>
      <t xml:space="preserve">Массовая доля магния                                  </t>
    </r>
    <r>
      <rPr>
        <sz val="9"/>
        <rFont val="Times New Roman"/>
        <family val="1"/>
        <charset val="204"/>
      </rPr>
      <t>м-д пламенной фотометрии</t>
    </r>
  </si>
  <si>
    <t>Определение массовой доли обменного магния атомно-абсорбционным методом</t>
  </si>
  <si>
    <r>
      <t xml:space="preserve">Зольность торфяных и оторфованых горизонтов </t>
    </r>
    <r>
      <rPr>
        <sz val="9"/>
        <rFont val="Times New Roman"/>
        <family val="1"/>
        <charset val="204"/>
      </rPr>
      <t>гравиметрическим методом</t>
    </r>
  </si>
  <si>
    <t>Общий азот (титриметрический метод)</t>
  </si>
  <si>
    <t>Определение общего азота фотометрическим методом</t>
  </si>
  <si>
    <t>Аммонийный азот (фотометрический метод)</t>
  </si>
  <si>
    <t>Нитратный азот (фотометрический метод)</t>
  </si>
  <si>
    <t>почва тех.</t>
  </si>
  <si>
    <t>Массовая доля микроэлементов :</t>
  </si>
  <si>
    <t>цинк (ААС м-д)</t>
  </si>
  <si>
    <t>Определение подвижных соединений цинка фотометрическим методом</t>
  </si>
  <si>
    <t>медь (ААС м-д)</t>
  </si>
  <si>
    <t>Определение подвижных соединений меди фотометрическим методом</t>
  </si>
  <si>
    <t>марганец (ААС м-д)</t>
  </si>
  <si>
    <t>Определение подвижных соединений марганца фотометрическим методом</t>
  </si>
  <si>
    <t>бор  (ААС м-д)</t>
  </si>
  <si>
    <t>Определение подвижных соединений бора фотометрическим методом с хинализарином</t>
  </si>
  <si>
    <t>молибден  (ААС м-д)</t>
  </si>
  <si>
    <t>Определение подвижных соединений молибдена фотометрическим методом с цинк-дитиолом</t>
  </si>
  <si>
    <t>кобальт  (ААС м-д)</t>
  </si>
  <si>
    <t>Определение подвижных соединений кобальта фотометрическим методом</t>
  </si>
  <si>
    <t xml:space="preserve">Массовая доля водорастворимого калия   м-д пламенная фотометрия </t>
  </si>
  <si>
    <t>Массовая доля водорастворимого кальция (ААС м-д)</t>
  </si>
  <si>
    <t>Определение массовой доли водорастворимого кальция в водной вытяжке атомно-абсорбционным методом</t>
  </si>
  <si>
    <t>Массовая доля водорастворимого магния (ААС м-д)</t>
  </si>
  <si>
    <t>Определение массовой доли водорастворимого магния в водной вытяжке атомно-абсорбционным методом</t>
  </si>
  <si>
    <r>
      <t xml:space="preserve">Массовая доля хлорида                                </t>
    </r>
    <r>
      <rPr>
        <sz val="9"/>
        <rFont val="Times New Roman"/>
        <family val="1"/>
        <charset val="204"/>
      </rPr>
      <t>(аргентометрический м-д)</t>
    </r>
  </si>
  <si>
    <t>Определение иона хлорида методом прямой ионометрии</t>
  </si>
  <si>
    <t xml:space="preserve">Массовая доля водорастворимого натрия   м-д пламенная фотометрия </t>
  </si>
  <si>
    <t>Эколого - токсикологические исследования</t>
  </si>
  <si>
    <t>Определение содержания свинца, цинка (атомно-абсорбционный метод)</t>
  </si>
  <si>
    <t>Определение содержания  кадмия, меди (атомно-абсорбционный метод)</t>
  </si>
  <si>
    <t>Определение содержания мышьяка (атомно-абсорбционный метод)</t>
  </si>
  <si>
    <t>Определение содержания мышьяка фотометрическим методом</t>
  </si>
  <si>
    <t>Определение содержания ртути (атомно-абсорбционный метод)</t>
  </si>
  <si>
    <t>Определение пестицидов методом ГЖХ</t>
  </si>
  <si>
    <t>Радионуклиды:</t>
  </si>
  <si>
    <t>Цезий - 137 (радиоспектрометрический метод)</t>
  </si>
  <si>
    <t>Стронций - 90  (радиоспектрометрический метод)</t>
  </si>
  <si>
    <t>Определение стронция-90 ускоренным экстракционным методом</t>
  </si>
  <si>
    <t>Нефтезагрязнители (метод инфракрасного спектрометра)</t>
  </si>
  <si>
    <t>Нефтезагрязнители (флуориметрический метод)</t>
  </si>
  <si>
    <t>бенз(а)пирен (метод ВЭЖХ)</t>
  </si>
  <si>
    <r>
      <t>почва тех.</t>
    </r>
    <r>
      <rPr>
        <sz val="10"/>
        <rFont val="Arial Cyr"/>
        <charset val="204"/>
      </rPr>
      <t>подгон</t>
    </r>
  </si>
  <si>
    <t>23.35.1.</t>
  </si>
  <si>
    <t>бенз(а)пирен (фотометрический метод)</t>
  </si>
  <si>
    <t>ГХЦГ (смесь изомеров)</t>
  </si>
  <si>
    <t>ДДТ и его метаболиты</t>
  </si>
  <si>
    <t>зерно,почва тех.</t>
  </si>
  <si>
    <t>Пестициды хлорорганические (ацетахлор)</t>
  </si>
  <si>
    <t>фосфорорганические</t>
  </si>
  <si>
    <t>ртутьорганические</t>
  </si>
  <si>
    <t>Пестициды других групп</t>
  </si>
  <si>
    <t>пиретроиды</t>
  </si>
  <si>
    <r>
      <t>почва тех</t>
    </r>
    <r>
      <rPr>
        <sz val="10"/>
        <rFont val="Arial Cyr"/>
        <charset val="204"/>
      </rPr>
      <t>.подгон</t>
    </r>
  </si>
  <si>
    <t>Яйца, личинки гельминтов, цисты кишечных патогенных простейших (метод микроскопии)</t>
  </si>
  <si>
    <t>Баканализ почв (бактериологический м-д)</t>
  </si>
  <si>
    <r>
      <t xml:space="preserve">Индекс БГКП </t>
    </r>
    <r>
      <rPr>
        <sz val="8"/>
        <rFont val="Times New Roman"/>
        <family val="1"/>
        <charset val="204"/>
      </rPr>
      <t>(микробиологический м-д)</t>
    </r>
  </si>
  <si>
    <r>
      <t xml:space="preserve">Сальмонелла  </t>
    </r>
    <r>
      <rPr>
        <sz val="8"/>
        <rFont val="Times New Roman"/>
        <family val="1"/>
        <charset val="204"/>
      </rPr>
      <t xml:space="preserve"> (микробиологический м-д)</t>
    </r>
  </si>
  <si>
    <r>
      <t xml:space="preserve">Индекс энтерококков                                                 </t>
    </r>
    <r>
      <rPr>
        <sz val="8"/>
        <rFont val="Times New Roman"/>
        <family val="1"/>
        <charset val="204"/>
      </rPr>
      <t>(микробиологический м-д)</t>
    </r>
  </si>
  <si>
    <r>
      <t xml:space="preserve">Уплотнение грунта  </t>
    </r>
    <r>
      <rPr>
        <sz val="8"/>
        <rFont val="Times New Roman"/>
        <family val="1"/>
        <charset val="204"/>
      </rPr>
      <t>(физико-химический м-д)</t>
    </r>
  </si>
  <si>
    <t xml:space="preserve"> Расчет класса опасности (биотестирование)</t>
  </si>
  <si>
    <t>Отбор почвенных проб способом маршрутных ходов с помощью тростевого бура, с выездом специалиста</t>
  </si>
  <si>
    <t>Выдача расчета результатов анализов агрохимического и эколого-токсикологического обследования почв земель  сельскохозяйственного назначения с выдачей рекомендаций</t>
  </si>
  <si>
    <t xml:space="preserve"> экз.</t>
  </si>
  <si>
    <t>Выдача  экспертного заключения</t>
  </si>
  <si>
    <t>Заключение договора</t>
  </si>
  <si>
    <t>Определение площади с географической отбивкой координат</t>
  </si>
  <si>
    <t>1 определение</t>
  </si>
  <si>
    <t>Натурное обследование участка с фотосъёмкой</t>
  </si>
  <si>
    <t>1 описание</t>
  </si>
  <si>
    <t xml:space="preserve">Разработка проекта </t>
  </si>
  <si>
    <t>1 проект</t>
  </si>
  <si>
    <t xml:space="preserve"> Исследование удобрений</t>
  </si>
  <si>
    <t>Гранулометрический состав гравиметрическим методом</t>
  </si>
  <si>
    <r>
      <t xml:space="preserve">Массовая доля азота </t>
    </r>
    <r>
      <rPr>
        <sz val="9"/>
        <rFont val="Times New Roman"/>
        <family val="1"/>
        <charset val="204"/>
      </rPr>
      <t>титриметрическим методом</t>
    </r>
  </si>
  <si>
    <r>
      <t xml:space="preserve">Определение общего азота </t>
    </r>
    <r>
      <rPr>
        <sz val="9"/>
        <rFont val="Times New Roman"/>
        <family val="1"/>
        <charset val="204"/>
      </rPr>
      <t>фотометрическим методом</t>
    </r>
  </si>
  <si>
    <r>
      <t xml:space="preserve">Массовая доля фосфора </t>
    </r>
    <r>
      <rPr>
        <sz val="9"/>
        <rFont val="Times New Roman"/>
        <family val="1"/>
        <charset val="204"/>
      </rPr>
      <t>фотометрическим методом</t>
    </r>
  </si>
  <si>
    <r>
      <t xml:space="preserve">Массовая доля калия                                   </t>
    </r>
    <r>
      <rPr>
        <sz val="9"/>
        <rFont val="Times New Roman"/>
        <family val="1"/>
        <charset val="204"/>
      </rPr>
      <t xml:space="preserve">  м-д пламенная фотометрия</t>
    </r>
  </si>
  <si>
    <t>Определение массовой доли калия весовым тетрафенилборатным методом</t>
  </si>
  <si>
    <r>
      <t xml:space="preserve">Массовая доля воды </t>
    </r>
    <r>
      <rPr>
        <sz val="9"/>
        <rFont val="Times New Roman"/>
        <family val="1"/>
        <charset val="204"/>
      </rPr>
      <t>гравиметрическим методом</t>
    </r>
  </si>
  <si>
    <t>Определение воды по методу Карла Фишера</t>
  </si>
  <si>
    <t>Массовая доля микроэлементов атомно-абсорбционным методом :</t>
  </si>
  <si>
    <t>цинк,</t>
  </si>
  <si>
    <t>медь</t>
  </si>
  <si>
    <t>марганец</t>
  </si>
  <si>
    <t>бор,</t>
  </si>
  <si>
    <t>молибден</t>
  </si>
  <si>
    <t>кобальт</t>
  </si>
  <si>
    <t>железо</t>
  </si>
  <si>
    <t>хром</t>
  </si>
  <si>
    <t>никель</t>
  </si>
  <si>
    <t>Массовая доля токсичных элементов  атомно-абсорбционным методом</t>
  </si>
  <si>
    <t>свинец</t>
  </si>
  <si>
    <t>мышьяк</t>
  </si>
  <si>
    <t>кадмий</t>
  </si>
  <si>
    <t>Баканализ удобрений (бактериологический м-д)</t>
  </si>
  <si>
    <r>
      <t>Разработка проекта рекультивации нарушенных земель сельско-хозяйственного назначения</t>
    </r>
    <r>
      <rPr>
        <b/>
        <sz val="11"/>
        <rFont val="Times New Roman"/>
        <family val="1"/>
        <charset val="204"/>
      </rPr>
      <t xml:space="preserve"> (Согласно действующих НД и ГОСТов)</t>
    </r>
  </si>
  <si>
    <t>проект</t>
  </si>
  <si>
    <t>Необходимо будет изменить с учетом новых введенных показателей и в случае измения в разрезе показателей цен в рамках ГЗ</t>
  </si>
  <si>
    <t>До 1 га</t>
  </si>
  <si>
    <t>От 1 га до 1,5 га</t>
  </si>
  <si>
    <t>От 1,5  га до 2 га</t>
  </si>
  <si>
    <t>№                                    п/п</t>
  </si>
  <si>
    <t>I. Оформление карантинной фитосанитарной документации</t>
  </si>
  <si>
    <t>Оформление заключения о карантинном фитосанитарном состоянии подкарантинной продукции</t>
  </si>
  <si>
    <t>Оформление заключения о карантинном фитосанитарном состоянии подкарантинного объекта</t>
  </si>
  <si>
    <t>Передача заключения по:</t>
  </si>
  <si>
    <t>1.3.1.</t>
  </si>
  <si>
    <t>1.3.1 факсу</t>
  </si>
  <si>
    <t>1 стр.</t>
  </si>
  <si>
    <t>1.3.2.</t>
  </si>
  <si>
    <t>1.3.2  электронной почте</t>
  </si>
  <si>
    <t>1.3.3.</t>
  </si>
  <si>
    <t>1.3.3  почте</t>
  </si>
  <si>
    <t>Оформление Свидетельства карантинной экспертизы</t>
  </si>
  <si>
    <t>II. Услуги по установлению карантинного фитосанитарного состояния подкарантинной продукции, включая все виды фитосанитарных анализов и экспертиз</t>
  </si>
  <si>
    <t>Выемка точечных проб, составление объединенной пробы и выделение средней пробы, просмотр для выявления семян сорных растений, вредителей и признаков болезней в горшечных растениях, посевном и посадочном материале:</t>
  </si>
  <si>
    <t xml:space="preserve">Луковицы, клубни, клубневидные корни, клубнелуковицы, корневища, включая разветвленные, находящиеся в состоянии вегетативного покоя, вегетации или цветения
прочие живые растения (включая их корни), саженцы, черенки, отводки, клубни луковиц, корневища, горшечные растения:
</t>
  </si>
  <si>
    <t>1.1.1.</t>
  </si>
  <si>
    <r>
      <rPr>
        <sz val="9"/>
        <rFont val="Times New Roman"/>
        <family val="1"/>
        <charset val="204"/>
      </rPr>
      <t>партия до 500 шт. (весь материал)</t>
    </r>
    <r>
      <rPr>
        <sz val="10"/>
        <rFont val="Times New Roman"/>
        <family val="1"/>
        <charset val="204"/>
      </rPr>
      <t xml:space="preserve"> </t>
    </r>
    <r>
      <rPr>
        <i/>
        <sz val="8"/>
        <rFont val="Times New Roman"/>
        <family val="1"/>
        <charset val="204"/>
      </rPr>
      <t>визуальный метод</t>
    </r>
  </si>
  <si>
    <t>1.1.2.</t>
  </si>
  <si>
    <r>
      <t xml:space="preserve">партия от 501 до 3000 шт. </t>
    </r>
    <r>
      <rPr>
        <i/>
        <sz val="8"/>
        <rFont val="Times New Roman"/>
        <family val="1"/>
        <charset val="204"/>
      </rPr>
      <t>визуальный метод</t>
    </r>
  </si>
  <si>
    <t>1.1.3.</t>
  </si>
  <si>
    <r>
      <t xml:space="preserve">партия от 3001 до 10000 шт. </t>
    </r>
    <r>
      <rPr>
        <i/>
        <sz val="8"/>
        <rFont val="Times New Roman"/>
        <family val="1"/>
        <charset val="204"/>
      </rPr>
      <t>визуальный метод</t>
    </r>
  </si>
  <si>
    <t>1.1.4.</t>
  </si>
  <si>
    <r>
      <t xml:space="preserve">партия свыше 10000 шт. </t>
    </r>
    <r>
      <rPr>
        <i/>
        <sz val="8"/>
        <rFont val="Times New Roman"/>
        <family val="1"/>
        <charset val="204"/>
      </rPr>
      <t>визуальный метод</t>
    </r>
  </si>
  <si>
    <r>
      <t xml:space="preserve">рассады овощных, цветочных и ягодных культур </t>
    </r>
    <r>
      <rPr>
        <i/>
        <sz val="8"/>
        <rFont val="Times New Roman"/>
        <family val="1"/>
        <charset val="204"/>
      </rPr>
      <t>визуальный метод</t>
    </r>
  </si>
  <si>
    <t>лук-севок</t>
  </si>
  <si>
    <r>
      <t xml:space="preserve">партия до 1 тонны </t>
    </r>
    <r>
      <rPr>
        <i/>
        <sz val="10"/>
        <rFont val="Times New Roman"/>
        <family val="1"/>
        <charset val="204"/>
      </rPr>
      <t>вручную</t>
    </r>
  </si>
  <si>
    <t>кг.</t>
  </si>
  <si>
    <r>
      <t xml:space="preserve">партия до 15 тонн  </t>
    </r>
    <r>
      <rPr>
        <i/>
        <sz val="8"/>
        <rFont val="Times New Roman"/>
        <family val="1"/>
        <charset val="204"/>
      </rPr>
      <t>вручную</t>
    </r>
  </si>
  <si>
    <r>
      <t xml:space="preserve">партия до 30 тонн </t>
    </r>
    <r>
      <rPr>
        <i/>
        <sz val="8"/>
        <rFont val="Times New Roman"/>
        <family val="1"/>
        <charset val="204"/>
      </rPr>
      <t>вручную</t>
    </r>
  </si>
  <si>
    <t>1.3.4.</t>
  </si>
  <si>
    <r>
      <t xml:space="preserve">партия свыше 30 тонн </t>
    </r>
    <r>
      <rPr>
        <i/>
        <sz val="8"/>
        <rFont val="Times New Roman"/>
        <family val="1"/>
        <charset val="204"/>
      </rPr>
      <t xml:space="preserve"> вручную</t>
    </r>
  </si>
  <si>
    <t>Семена, плоды и споры для посева</t>
  </si>
  <si>
    <t>1.4.1.</t>
  </si>
  <si>
    <t xml:space="preserve">Семенной материал:
семена овощных, цветочных культур, лекарственных и газонных трав (нефасованные):
</t>
  </si>
  <si>
    <t>1.4.1.1.</t>
  </si>
  <si>
    <t>крупносеменные культуры</t>
  </si>
  <si>
    <t>1.4.1.2.</t>
  </si>
  <si>
    <t>среднесеменные культуры</t>
  </si>
  <si>
    <t>1.4.1.3.</t>
  </si>
  <si>
    <t>мелкосеменные культуры</t>
  </si>
  <si>
    <t>1.4.2.</t>
  </si>
  <si>
    <r>
      <rPr>
        <i/>
        <sz val="12"/>
        <rFont val="Times New Roman"/>
        <family val="1"/>
        <charset val="204"/>
      </rPr>
      <t xml:space="preserve">пакетированные семена: партия до 25 пакетов: </t>
    </r>
    <r>
      <rPr>
        <i/>
        <sz val="11"/>
        <rFont val="Times New Roman"/>
        <family val="1"/>
        <charset val="204"/>
      </rPr>
      <t xml:space="preserve">метод - </t>
    </r>
    <r>
      <rPr>
        <i/>
        <sz val="10"/>
        <rFont val="Times New Roman"/>
        <family val="1"/>
        <charset val="204"/>
      </rPr>
      <t>вручную с использованием конусного щупа</t>
    </r>
  </si>
  <si>
    <t>1.4.2.1.</t>
  </si>
  <si>
    <t>пакет</t>
  </si>
  <si>
    <t>1.4.2.2.</t>
  </si>
  <si>
    <t>1.4.2.3.</t>
  </si>
  <si>
    <t>1.4.3.</t>
  </si>
  <si>
    <t>партии семян от 26 до 100 пакетов: метод - вручную с использованием конусного щупа</t>
  </si>
  <si>
    <t>1.4.3.1.</t>
  </si>
  <si>
    <t>1.4.3.2.</t>
  </si>
  <si>
    <t>1.4.3.3.</t>
  </si>
  <si>
    <t>1.4.4.</t>
  </si>
  <si>
    <t>партии семян от 101 до 500 пакетов: метод - вручную с использованием конусного щупа</t>
  </si>
  <si>
    <t>1.4.4.1.</t>
  </si>
  <si>
    <t>1.4.4.2.</t>
  </si>
  <si>
    <t>1.4.4.3.</t>
  </si>
  <si>
    <t>1.4.5.</t>
  </si>
  <si>
    <t>партии свыше 500 пакетов: метод - вручную с использованием конусного щупа</t>
  </si>
  <si>
    <t>1.4.5.1.</t>
  </si>
  <si>
    <t>1.4.5.2.</t>
  </si>
  <si>
    <t>1.4.5.3.</t>
  </si>
  <si>
    <t>1.4.6.</t>
  </si>
  <si>
    <t>Семена зерновых культур (пшеница, ячмень, тритикале, овес) метод - вручную с использованием конусного щупа</t>
  </si>
  <si>
    <t>тонна</t>
  </si>
  <si>
    <t>1.4.7.</t>
  </si>
  <si>
    <t>Семена бобовых культур (фасоль, соя, бобы и т.д.) метод - вручную с использованием конусного щупа</t>
  </si>
  <si>
    <t>1.4.8.</t>
  </si>
  <si>
    <t>Семена люцерны, клевера, люпина метод - вручную с использованием конусного щупа</t>
  </si>
  <si>
    <t>1.4.9.</t>
  </si>
  <si>
    <t>Семена технических и масличных культур (рапс, подсолнечник, кунжут и т.д.) метод - вручную с использованием конусного щупа</t>
  </si>
  <si>
    <t>1.4.10.</t>
  </si>
  <si>
    <t>Семена злаковых, кормовых трав (костер, овсяница, райграс, мятлик и т.д.) метод - вручную с использованием конусного щупа</t>
  </si>
  <si>
    <t>1.4.11.</t>
  </si>
  <si>
    <t>Семенной картофель  метод - вручную</t>
  </si>
  <si>
    <t>1.4.12.</t>
  </si>
  <si>
    <t>Веники, засушенные части растений, мхи:  метод - вручную</t>
  </si>
  <si>
    <t>1.4.12.1.</t>
  </si>
  <si>
    <t>партия до 1000 шт.</t>
  </si>
  <si>
    <t>1.4.12.2.</t>
  </si>
  <si>
    <t>партия свыше 1000 шт.</t>
  </si>
  <si>
    <t>Каждые последующие 1000 шт.</t>
  </si>
  <si>
    <t>1.4.13.</t>
  </si>
  <si>
    <t>Вегетативные части деревьев (ветки):  метод - вручную с использованием секатора</t>
  </si>
  <si>
    <t>1.4.13.1.</t>
  </si>
  <si>
    <t>до 1 тыс.шт.</t>
  </si>
  <si>
    <t>1.4.13.2.</t>
  </si>
  <si>
    <t>свыше 1 тыс.шт.</t>
  </si>
  <si>
    <t>1.4.14.</t>
  </si>
  <si>
    <t>Ветки хвойных деревьев, еловый лапник (еловые ветки): метод - вручную с использованием секатора</t>
  </si>
  <si>
    <t>1.4.14.1.</t>
  </si>
  <si>
    <t>до 1000 шт.</t>
  </si>
  <si>
    <t>1.4.14.2.</t>
  </si>
  <si>
    <t>свыше 1000 шт.</t>
  </si>
  <si>
    <t>1.4.15.</t>
  </si>
  <si>
    <t>Рождественские деревья (новогодние елки) метод - вручную с использованием секатора</t>
  </si>
  <si>
    <t>1.4.16.</t>
  </si>
  <si>
    <t>Срезанные цветы и бутоны, пригодные для составления букетов или для декоративных целей, свежие:   метод - вручную</t>
  </si>
  <si>
    <t>1.4.16.1.</t>
  </si>
  <si>
    <t>1.4.16.2.</t>
  </si>
  <si>
    <r>
      <t xml:space="preserve">посадочный материал взрослых деревьев (возрастом более 3-х лет). </t>
    </r>
    <r>
      <rPr>
        <i/>
        <sz val="12"/>
        <rFont val="Times New Roman"/>
        <family val="1"/>
        <charset val="204"/>
      </rPr>
      <t>визуальным методом</t>
    </r>
  </si>
  <si>
    <t>штука</t>
  </si>
  <si>
    <t>Выемка точечных проб, составление объединенной пробы и выделение средней пробы, просмотр для выявления семян сорных растений, вредителей и признаков болезней в подкарантинной продукции, предназначенной для продовольственных и фуражных целей:</t>
  </si>
  <si>
    <t>Свежие фрукты: маниок, маранта, салеп, земляная груша или топинамбур, сладкий картофель или батат, и аналогичные корнеплоды и клубнеплоды с высоким содержанием крахмала или инулина, свежие, охлажденные или сушенные, целые или нарезанные ломтиками; сердцевина саговой пальмы,</t>
  </si>
  <si>
    <t xml:space="preserve">Бананы, включая плантайны, свежие или сушеные,
Цитрусовые плоды, свежие или сушеные,
</t>
  </si>
  <si>
    <t xml:space="preserve">Яблоки, груши и айва, свежие
Абрикосы, вишня и черешня, персики (включая нектарины), сливы и терн, свежие, виноград,
</t>
  </si>
  <si>
    <t>Прочие фрукты, свежие</t>
  </si>
  <si>
    <t xml:space="preserve">томаты свежие или охлажденные,
лук репчатый, лук шалот, чеснок, лук-порей и прочие
</t>
  </si>
  <si>
    <t>капуста кочанная, капуста цветная, кольраби, капуста листовая и аналогичные съедобные овощи из рода Brassica, свежие или охлажденные,</t>
  </si>
  <si>
    <t>салат-латук (Lactuca sativa) и цикорий (Cichorium spp.), свежие или охлажденные</t>
  </si>
  <si>
    <t>морковь, репа, свекла столовая, козлобородник, сельдерей корневой, редис и прочие аналогичные съедобные корнеплоды, свежие или охлажденные, огурцы и корнишоны, свежие или охлажденные,</t>
  </si>
  <si>
    <t>бобовые овощи, лущеные или нелущеные, свежие или охлажденные,</t>
  </si>
  <si>
    <t>Овощи бобовые сушеные, лущеные, очищенные от семенной кожуры или неочищенные, колотые или неколотые,</t>
  </si>
  <si>
    <r>
      <t xml:space="preserve">ягоды, бахчевые, свежие грибы:  </t>
    </r>
    <r>
      <rPr>
        <b/>
        <i/>
        <sz val="12"/>
        <rFont val="Times New Roman"/>
        <family val="1"/>
        <charset val="204"/>
      </rPr>
      <t xml:space="preserve"> метод - вручную</t>
    </r>
  </si>
  <si>
    <t>2.1.1.</t>
  </si>
  <si>
    <t>партия до 1 тонны</t>
  </si>
  <si>
    <t>2.1.2.</t>
  </si>
  <si>
    <t>партия от 1 тонны до 150 тонн</t>
  </si>
  <si>
    <t>2.1.3.</t>
  </si>
  <si>
    <t>партия свыше 150 т</t>
  </si>
  <si>
    <t>за каждую последующую тонну</t>
  </si>
  <si>
    <r>
      <t xml:space="preserve">Овощи прочие, свежие или охлажденные, зеленные культуры, салаты </t>
    </r>
    <r>
      <rPr>
        <b/>
        <i/>
        <sz val="12"/>
        <rFont val="Times New Roman"/>
        <family val="1"/>
        <charset val="204"/>
      </rPr>
      <t>метод - вручную</t>
    </r>
  </si>
  <si>
    <t>2.2.1.</t>
  </si>
  <si>
    <t>партия до 50 кг</t>
  </si>
  <si>
    <t>2.2.2.</t>
  </si>
  <si>
    <t>партия свыше 50 кг</t>
  </si>
  <si>
    <t>за каждый последующий килограмм</t>
  </si>
  <si>
    <r>
      <t xml:space="preserve">Овощи прочие, свежие или охлажденные, зеленная культура в горшочках </t>
    </r>
    <r>
      <rPr>
        <b/>
        <i/>
        <sz val="12"/>
        <rFont val="Times New Roman"/>
        <family val="1"/>
        <charset val="204"/>
      </rPr>
      <t>метод - вручную</t>
    </r>
  </si>
  <si>
    <t>2.3.1.</t>
  </si>
  <si>
    <t>партия до 500 шт.</t>
  </si>
  <si>
    <t>2.3.2.</t>
  </si>
  <si>
    <t>партия от 501 до 3000 шт.</t>
  </si>
  <si>
    <t>2.3.3.</t>
  </si>
  <si>
    <t>партия от 3001 до 10000 шт.</t>
  </si>
  <si>
    <t>2.3.4.</t>
  </si>
  <si>
    <t>партия свыше 10000 шт.</t>
  </si>
  <si>
    <r>
      <t xml:space="preserve">Товарный подсолнечник,
кориандр, горчица, клещевина, соя, рапс, продовольственное семя тыквы, фасоль, горох, бобы, лен, копра и т.п. </t>
    </r>
    <r>
      <rPr>
        <b/>
        <i/>
        <sz val="9"/>
        <rFont val="Times New Roman"/>
        <family val="1"/>
        <charset val="204"/>
      </rPr>
      <t>метод - вручную с использованием щупа</t>
    </r>
    <r>
      <rPr>
        <i/>
        <sz val="9"/>
        <rFont val="Times New Roman"/>
        <family val="1"/>
        <charset val="204"/>
      </rPr>
      <t xml:space="preserve">
</t>
    </r>
  </si>
  <si>
    <r>
      <t xml:space="preserve">Продовольственный картофель  </t>
    </r>
    <r>
      <rPr>
        <b/>
        <i/>
        <sz val="12"/>
        <rFont val="Times New Roman"/>
        <family val="1"/>
        <charset val="204"/>
      </rPr>
      <t>метод - вручную</t>
    </r>
  </si>
  <si>
    <r>
      <rPr>
        <i/>
        <sz val="11"/>
        <rFont val="Times New Roman"/>
        <family val="1"/>
        <charset val="204"/>
      </rPr>
      <t xml:space="preserve">Зерно 1-4 класса (продовольственное): Пшеница и меслин, Рожь, Ячмень, Овес, Кукуруза, Рис, Сорго зерновое,  Гречиха, просо и семена канареечника; прочие злаки </t>
    </r>
    <r>
      <rPr>
        <i/>
        <sz val="12"/>
        <rFont val="Times New Roman"/>
        <family val="1"/>
        <charset val="204"/>
      </rPr>
      <t xml:space="preserve">  </t>
    </r>
    <r>
      <rPr>
        <b/>
        <i/>
        <sz val="9"/>
        <rFont val="Times New Roman"/>
        <family val="1"/>
        <charset val="204"/>
      </rPr>
      <t>метод - вручную с использованием щупа</t>
    </r>
  </si>
  <si>
    <r>
      <t xml:space="preserve">Зерно 5-го класса и ниже (зернофураж), комбикорма </t>
    </r>
    <r>
      <rPr>
        <b/>
        <i/>
        <sz val="9"/>
        <rFont val="Times New Roman"/>
        <family val="1"/>
        <charset val="204"/>
      </rPr>
      <t>метод - вручную с использованием щупа</t>
    </r>
  </si>
  <si>
    <t>2.8.</t>
  </si>
  <si>
    <r>
      <t xml:space="preserve">шрот и жмых  метод - </t>
    </r>
    <r>
      <rPr>
        <b/>
        <i/>
        <sz val="8"/>
        <rFont val="Times New Roman"/>
        <family val="1"/>
        <charset val="204"/>
      </rPr>
      <t>вручную с использованием щупа</t>
    </r>
  </si>
  <si>
    <t>2.9.</t>
  </si>
  <si>
    <r>
      <t xml:space="preserve">сахар-сырец  </t>
    </r>
    <r>
      <rPr>
        <b/>
        <i/>
        <sz val="8"/>
        <rFont val="Times New Roman"/>
        <family val="1"/>
        <charset val="204"/>
      </rPr>
      <t>метод - вручную с использованием щупа</t>
    </r>
  </si>
  <si>
    <t>2.10.</t>
  </si>
  <si>
    <r>
      <t xml:space="preserve">какао-бобы, кофе в зернах, орехи, сухофрукты, цукаты,  сушеные овощи, ягоды  </t>
    </r>
    <r>
      <rPr>
        <b/>
        <i/>
        <sz val="12"/>
        <rFont val="Times New Roman"/>
        <family val="1"/>
        <charset val="204"/>
      </rPr>
      <t>метод - вручную с использованием щупа</t>
    </r>
  </si>
  <si>
    <t>2.10.1.</t>
  </si>
  <si>
    <t>2.10.2.</t>
  </si>
  <si>
    <t>партия свыше 1 тонны</t>
  </si>
  <si>
    <t>2.11.</t>
  </si>
  <si>
    <t>Пряности, специи, чай</t>
  </si>
  <si>
    <r>
      <rPr>
        <sz val="11"/>
        <rFont val="Times New Roman"/>
        <family val="1"/>
        <charset val="204"/>
      </rPr>
      <t xml:space="preserve">Хмель, грибы сушеные, целые, нарезанные кусками, ломтиками, измельченные или в виде порошка, но не повергнутые дальнейшей обработке </t>
    </r>
    <r>
      <rPr>
        <b/>
        <i/>
        <sz val="9"/>
        <rFont val="Times New Roman"/>
        <family val="1"/>
        <charset val="204"/>
      </rPr>
      <t>метод - вручную с использованием щупа</t>
    </r>
  </si>
  <si>
    <t>2.12.</t>
  </si>
  <si>
    <r>
      <t xml:space="preserve">крупа, солод </t>
    </r>
    <r>
      <rPr>
        <b/>
        <i/>
        <sz val="9"/>
        <rFont val="Times New Roman"/>
        <family val="1"/>
        <charset val="204"/>
      </rPr>
      <t>метод - вручную с использованием щупа</t>
    </r>
  </si>
  <si>
    <t>2.13.</t>
  </si>
  <si>
    <r>
      <t xml:space="preserve">мука </t>
    </r>
    <r>
      <rPr>
        <b/>
        <i/>
        <sz val="9"/>
        <rFont val="Times New Roman"/>
        <family val="1"/>
        <charset val="204"/>
      </rPr>
      <t>метод - вручную с использованием щупа</t>
    </r>
  </si>
  <si>
    <t>2.14.</t>
  </si>
  <si>
    <r>
      <t xml:space="preserve">хлопья (овсяные, пшеничные и тд.) </t>
    </r>
    <r>
      <rPr>
        <b/>
        <i/>
        <sz val="9"/>
        <rFont val="Times New Roman"/>
        <family val="1"/>
        <charset val="204"/>
      </rPr>
      <t xml:space="preserve"> метод - вручную с использованием щупа</t>
    </r>
  </si>
  <si>
    <t>2.15.</t>
  </si>
  <si>
    <r>
      <t xml:space="preserve">глютен </t>
    </r>
    <r>
      <rPr>
        <b/>
        <i/>
        <sz val="9"/>
        <rFont val="Times New Roman"/>
        <family val="1"/>
        <charset val="204"/>
      </rPr>
      <t>метод - вручную с использованием щупа</t>
    </r>
  </si>
  <si>
    <t>2.16.</t>
  </si>
  <si>
    <r>
      <t xml:space="preserve">соевая мука </t>
    </r>
    <r>
      <rPr>
        <b/>
        <i/>
        <sz val="9"/>
        <rFont val="Times New Roman"/>
        <family val="1"/>
        <charset val="204"/>
      </rPr>
      <t>метод - вручную с использованием щупа</t>
    </r>
  </si>
  <si>
    <t>2.17.</t>
  </si>
  <si>
    <r>
      <t xml:space="preserve">соевый концентрат, соевый изолят, текстурированный соевый белок </t>
    </r>
    <r>
      <rPr>
        <b/>
        <i/>
        <sz val="9"/>
        <rFont val="Times New Roman"/>
        <family val="1"/>
        <charset val="204"/>
      </rPr>
      <t>метод - вручную с использованием щупа</t>
    </r>
  </si>
  <si>
    <t>2.18.</t>
  </si>
  <si>
    <r>
      <t>кокосовая стружка</t>
    </r>
    <r>
      <rPr>
        <b/>
        <i/>
        <sz val="8"/>
        <rFont val="Times New Roman"/>
        <family val="1"/>
        <charset val="204"/>
      </rPr>
      <t xml:space="preserve"> метод - вручную с использованием щупа</t>
    </r>
  </si>
  <si>
    <t>2.19.</t>
  </si>
  <si>
    <r>
      <t>побочный кормовой продукт</t>
    </r>
    <r>
      <rPr>
        <b/>
        <i/>
        <sz val="9"/>
        <rFont val="Times New Roman"/>
        <family val="1"/>
        <charset val="204"/>
      </rPr>
      <t xml:space="preserve"> метод - вручную с использованием щупа</t>
    </r>
  </si>
  <si>
    <t>2.20.</t>
  </si>
  <si>
    <r>
      <t xml:space="preserve">премикс   </t>
    </r>
    <r>
      <rPr>
        <b/>
        <i/>
        <sz val="12"/>
        <rFont val="Times New Roman"/>
        <family val="1"/>
        <charset val="204"/>
      </rPr>
      <t>метод - вручную с использованием щупа</t>
    </r>
  </si>
  <si>
    <t>2.20.1.</t>
  </si>
  <si>
    <t>2.20.2.</t>
  </si>
  <si>
    <r>
      <t xml:space="preserve">Выемка точечных проб, составление объединенной пробы и выделение средней пробы, просмотр для выявления семян сорных растений, вредителей и признаков болезней в подкарантинной продукции, предназначенной для технических целей:  </t>
    </r>
    <r>
      <rPr>
        <b/>
        <i/>
        <sz val="12"/>
        <rFont val="Times New Roman"/>
        <family val="1"/>
        <charset val="204"/>
      </rPr>
      <t>метод - вручную</t>
    </r>
  </si>
  <si>
    <t>Волокно хлопчатника, джута, кенафа, сизаля, кокосового ореха</t>
  </si>
  <si>
    <t>Волокно льна и конопли, хны</t>
  </si>
  <si>
    <t>Табак листовой и др. табачное сырье и отходы</t>
  </si>
  <si>
    <t>Технический казеин</t>
  </si>
  <si>
    <t>Сено и солома</t>
  </si>
  <si>
    <t>Кожсырье</t>
  </si>
  <si>
    <t>Шерсть</t>
  </si>
  <si>
    <t>Лекарственное сырье</t>
  </si>
  <si>
    <t>Тапиока и ее аналог</t>
  </si>
  <si>
    <t>Мука рыбная, гранулы из рыбы или ракообразных и т.д., непригодных для употребления в пищу</t>
  </si>
  <si>
    <t>Отходы злаковых и бобовых культур (отрубей, высевков, месятков и пр.)</t>
  </si>
  <si>
    <t>Яичный порошок, сухое молоко (сухие сливки)</t>
  </si>
  <si>
    <r>
      <t xml:space="preserve">Круглые лесоматериалы, пиломатериалы: </t>
    </r>
    <r>
      <rPr>
        <b/>
        <i/>
        <sz val="10"/>
        <rFont val="Times New Roman"/>
        <family val="1"/>
        <charset val="204"/>
      </rPr>
      <t>метод - вручную с использованием пилы, свёрл, стамески</t>
    </r>
  </si>
  <si>
    <t>3.13.1.</t>
  </si>
  <si>
    <t>на площадке</t>
  </si>
  <si>
    <t>куб.м</t>
  </si>
  <si>
    <t>3.13.2.</t>
  </si>
  <si>
    <t>на нижнем складе</t>
  </si>
  <si>
    <t>3.13.3.</t>
  </si>
  <si>
    <t>в автомашине</t>
  </si>
  <si>
    <t>3.13.4.</t>
  </si>
  <si>
    <t>в железнодорожном вагоне</t>
  </si>
  <si>
    <t>3.13.5.</t>
  </si>
  <si>
    <t>на судах и авиатранспорте</t>
  </si>
  <si>
    <t>Дрова</t>
  </si>
  <si>
    <t>Изделия из древесины (в т.ч. крепежный материал), изделия из рисовой соломки, бамбука</t>
  </si>
  <si>
    <t>Масса древесная механическая, опилки</t>
  </si>
  <si>
    <r>
      <rPr>
        <i/>
        <sz val="11"/>
        <rFont val="Times New Roman"/>
        <family val="1"/>
        <charset val="204"/>
      </rPr>
      <t>Кварцевый песок, песок</t>
    </r>
    <r>
      <rPr>
        <i/>
        <sz val="12"/>
        <rFont val="Times New Roman"/>
        <family val="1"/>
        <charset val="204"/>
      </rPr>
      <t xml:space="preserve"> </t>
    </r>
    <r>
      <rPr>
        <i/>
        <sz val="9"/>
        <rFont val="Times New Roman"/>
        <family val="1"/>
        <charset val="204"/>
      </rPr>
      <t>(</t>
    </r>
    <r>
      <rPr>
        <b/>
        <i/>
        <sz val="9"/>
        <rFont val="Times New Roman"/>
        <family val="1"/>
        <charset val="204"/>
      </rPr>
      <t>метод - вручную)</t>
    </r>
  </si>
  <si>
    <r>
      <t xml:space="preserve">Глина </t>
    </r>
    <r>
      <rPr>
        <b/>
        <i/>
        <sz val="11"/>
        <rFont val="Times New Roman"/>
        <family val="1"/>
        <charset val="204"/>
      </rPr>
      <t xml:space="preserve"> (метод - вручную)</t>
    </r>
  </si>
  <si>
    <r>
      <t>Щебень, галька и т.д.</t>
    </r>
    <r>
      <rPr>
        <b/>
        <i/>
        <sz val="9"/>
        <rFont val="Times New Roman"/>
        <family val="1"/>
        <charset val="204"/>
      </rPr>
      <t>(метод - вручную)</t>
    </r>
  </si>
  <si>
    <r>
      <t xml:space="preserve">Субстрат, компост </t>
    </r>
    <r>
      <rPr>
        <b/>
        <i/>
        <sz val="10"/>
        <rFont val="Times New Roman"/>
        <family val="1"/>
        <charset val="204"/>
      </rPr>
      <t xml:space="preserve"> (метод - вручную)</t>
    </r>
  </si>
  <si>
    <r>
      <t xml:space="preserve">Торф, грунт, почвогрунт, питательный грунт:  </t>
    </r>
    <r>
      <rPr>
        <b/>
        <i/>
        <sz val="12"/>
        <rFont val="Times New Roman"/>
        <family val="1"/>
        <charset val="204"/>
      </rPr>
      <t>метод - вручную</t>
    </r>
  </si>
  <si>
    <t>3.21.1.</t>
  </si>
  <si>
    <t>3.21.2.</t>
  </si>
  <si>
    <r>
      <t xml:space="preserve">Просмотр для выявления семян сорных растений, вредителей и признаков болезней в таре и упаковочных материалах: </t>
    </r>
    <r>
      <rPr>
        <b/>
        <i/>
        <sz val="11"/>
        <rFont val="Times New Roman"/>
        <family val="1"/>
        <charset val="204"/>
      </rPr>
      <t xml:space="preserve"> метод - вручную (с использованием пилы, свёрл, стамески)</t>
    </r>
  </si>
  <si>
    <t>Пустые деревянные ящики</t>
  </si>
  <si>
    <t>1 ед.</t>
  </si>
  <si>
    <t>Картонные коробки, коробки из гофрокартона, материал из гофрокартона</t>
  </si>
  <si>
    <t>Материал и упаковка ламинированная</t>
  </si>
  <si>
    <t>Мешкотара (джутовая и тканевая)</t>
  </si>
  <si>
    <t>Поддон</t>
  </si>
  <si>
    <t>Барабан</t>
  </si>
  <si>
    <t>Иной упаковочный материал</t>
  </si>
  <si>
    <t>Упаковочный материал для жидких пищевых продуктов</t>
  </si>
  <si>
    <t>1 тыс.шт.</t>
  </si>
  <si>
    <t>4.9.</t>
  </si>
  <si>
    <t>Картонная упаковка, бывшая в эксплуатации</t>
  </si>
  <si>
    <t>1 шт.</t>
  </si>
  <si>
    <r>
      <t xml:space="preserve">Просмотр для выявления семян сорных растений, вредителей и признаков болезней в транспортных средствах:  </t>
    </r>
    <r>
      <rPr>
        <b/>
        <i/>
        <sz val="12"/>
        <rFont val="Times New Roman"/>
        <family val="1"/>
        <charset val="204"/>
      </rPr>
      <t xml:space="preserve">метод - вручную  </t>
    </r>
  </si>
  <si>
    <t>Судов водоизмещением (пустые емкости):</t>
  </si>
  <si>
    <t>5.1.1.</t>
  </si>
  <si>
    <t>до 3 тыс. т</t>
  </si>
  <si>
    <t>5.1.2.</t>
  </si>
  <si>
    <t>до 6 тыс.т</t>
  </si>
  <si>
    <t>5.1.3.</t>
  </si>
  <si>
    <t>до 15 тыс.т</t>
  </si>
  <si>
    <t>5.1.4.</t>
  </si>
  <si>
    <t>от 15 до 50 тыс.т</t>
  </si>
  <si>
    <t>5.1.5.</t>
  </si>
  <si>
    <t>свыше 50 тыс.т</t>
  </si>
  <si>
    <t>Вагоны (пустые емкости)</t>
  </si>
  <si>
    <t>Контейнеры (пустые емкости)</t>
  </si>
  <si>
    <t>Автобусы (пустые емкости)</t>
  </si>
  <si>
    <t>Грузовые автомобили (пустые емкости)</t>
  </si>
  <si>
    <t>Легковые автомобили (пустые емкости)</t>
  </si>
  <si>
    <t>Самолеты (пустые емкости)</t>
  </si>
  <si>
    <t>5.8.</t>
  </si>
  <si>
    <t>Импортные б/у транспортные средства</t>
  </si>
  <si>
    <t>5.8.1.</t>
  </si>
  <si>
    <t>Грузовые автомобили, спецтехники</t>
  </si>
  <si>
    <t>5.8.2.</t>
  </si>
  <si>
    <t>Легковые автомобили</t>
  </si>
  <si>
    <t xml:space="preserve">Выемка точечных проб, составление объединенной пробы и выделение средней пробы, просмотр для выявления вредителей и болезней в биологическом коллекционном материале; исследование на выявление живых фитопатогенных бактерий, вирусов только для научно исследовательских целей;
исследование коллекций и предметы коллекционирования по зоологии, ботанике
</t>
  </si>
  <si>
    <t>1 коллекция</t>
  </si>
  <si>
    <t>III. Выемка точечных проб, составление объединенной пробы и выделение средней пробы, просмотр для выявления вредителей при исследовании посевов, посадок:</t>
  </si>
  <si>
    <r>
      <t xml:space="preserve">Визуальное исследование: </t>
    </r>
    <r>
      <rPr>
        <b/>
        <i/>
        <sz val="10"/>
        <rFont val="Times New Roman"/>
        <family val="1"/>
        <charset val="204"/>
      </rPr>
      <t xml:space="preserve"> вручную методом конверта, по диагонали</t>
    </r>
  </si>
  <si>
    <t>многолетние культуры и породы</t>
  </si>
  <si>
    <t>1га</t>
  </si>
  <si>
    <t>однолетние культуры в открытом грунте</t>
  </si>
  <si>
    <t>культуры в закрытом грунте</t>
  </si>
  <si>
    <t>1кв.м</t>
  </si>
  <si>
    <t>0,78 ????</t>
  </si>
  <si>
    <t>складские помещения</t>
  </si>
  <si>
    <t>открытые площадки</t>
  </si>
  <si>
    <t>кв.м</t>
  </si>
  <si>
    <t>питомники</t>
  </si>
  <si>
    <t>теплицы</t>
  </si>
  <si>
    <t>картофеле- и овощехранилища</t>
  </si>
  <si>
    <t>поля открытого грунта</t>
  </si>
  <si>
    <t>1.9.1.</t>
  </si>
  <si>
    <t>поле до 1 га</t>
  </si>
  <si>
    <t>га</t>
  </si>
  <si>
    <t>1.9.2.</t>
  </si>
  <si>
    <t>поле свыше 1 га</t>
  </si>
  <si>
    <t>1.9.3.</t>
  </si>
  <si>
    <t>поле свыше 10 га</t>
  </si>
  <si>
    <r>
      <t xml:space="preserve">Исследование с применением феромонных и пищевых ловушек: </t>
    </r>
    <r>
      <rPr>
        <b/>
        <i/>
        <sz val="10"/>
        <rFont val="Times New Roman"/>
        <family val="1"/>
        <charset val="204"/>
      </rPr>
      <t>метод феромонно-пищевых ловушек</t>
    </r>
  </si>
  <si>
    <t>1 га</t>
  </si>
  <si>
    <t>1 кв.м</t>
  </si>
  <si>
    <t>1,04???? Почему не индекировалась?</t>
  </si>
  <si>
    <t>складские помещения с продукцией</t>
  </si>
  <si>
    <t>1 куб.м</t>
  </si>
  <si>
    <t>складские помещения пустые</t>
  </si>
  <si>
    <t>отбор сметок и просыпей</t>
  </si>
  <si>
    <t>1 образец</t>
  </si>
  <si>
    <r>
      <t xml:space="preserve">Исследование с применением цветных ловушек: </t>
    </r>
    <r>
      <rPr>
        <b/>
        <i/>
        <sz val="11"/>
        <rFont val="Times New Roman"/>
        <family val="1"/>
        <charset val="204"/>
      </rPr>
      <t>метод цветной  ловушки</t>
    </r>
  </si>
  <si>
    <t>многолетние и однолетние культуры и породы в открытом грунте</t>
  </si>
  <si>
    <t>сад с установлением коэффициента заселенности калифорнийской щитовкой</t>
  </si>
  <si>
    <t>Исследование методом шеренги с уничтожением отдельных растений карантинных сорняков и учетом площади под очагами</t>
  </si>
  <si>
    <t>Исследование маршрутным методом:</t>
  </si>
  <si>
    <t>культуры сплошного сева</t>
  </si>
  <si>
    <t>пропашные культуры</t>
  </si>
  <si>
    <t>конопля, соя, многолетние травы</t>
  </si>
  <si>
    <t>паровые поля и невозделываемые земли</t>
  </si>
  <si>
    <t>сад, виноградник, цветочные культуры</t>
  </si>
  <si>
    <t>Исследование земельных угодий на выявление возбудителей карантинных болезней маршрутным методом:</t>
  </si>
  <si>
    <t>Культуры сплошного сева</t>
  </si>
  <si>
    <t>Пропашные культуры</t>
  </si>
  <si>
    <t>Сад, виноградник, ягодные культуры, цветочные и декоративные культуры и породы</t>
  </si>
  <si>
    <t>Картофеля на выявление картофельных нематод в производственных посадках</t>
  </si>
  <si>
    <t>Отбор одного среднего почвенного образца на выявление рака и нематоды картофеля в производственных посадках</t>
  </si>
  <si>
    <t>Визуальный анализ клубней картофеля на выявление рака картофеля в производственных посадках</t>
  </si>
  <si>
    <t xml:space="preserve">Отбор проб на комплекс карантинных объектов </t>
  </si>
  <si>
    <r>
      <t xml:space="preserve">IV. Лабораторная энтомологическая экспертиза средних проб подкарантинной продукции (объектов) </t>
    </r>
    <r>
      <rPr>
        <b/>
        <i/>
        <sz val="11"/>
        <rFont val="Times New Roman"/>
        <family val="1"/>
        <charset val="204"/>
      </rPr>
      <t>метод визуальный</t>
    </r>
  </si>
  <si>
    <t>Лабораторный анализ средней пробы</t>
  </si>
  <si>
    <t>Анализ сборов из ловушек и подготовка насекомых к определению:</t>
  </si>
  <si>
    <r>
      <t xml:space="preserve">Феромонные ловушки   </t>
    </r>
    <r>
      <rPr>
        <b/>
        <i/>
        <sz val="9"/>
        <rFont val="Times New Roman"/>
        <family val="1"/>
        <charset val="204"/>
      </rPr>
      <t>метод визуальный с приготовлением препарата</t>
    </r>
  </si>
  <si>
    <t>ловушка</t>
  </si>
  <si>
    <r>
      <t xml:space="preserve">Пищевые приманки      </t>
    </r>
    <r>
      <rPr>
        <b/>
        <i/>
        <sz val="9"/>
        <rFont val="Times New Roman"/>
        <family val="1"/>
        <charset val="204"/>
      </rPr>
      <t>метод флотации (визуальный)</t>
    </r>
  </si>
  <si>
    <t>приманка</t>
  </si>
  <si>
    <r>
      <t xml:space="preserve">Световые ловушки </t>
    </r>
    <r>
      <rPr>
        <b/>
        <i/>
        <sz val="9"/>
        <rFont val="Times New Roman"/>
        <family val="1"/>
        <charset val="204"/>
      </rPr>
      <t>метод визуальный с приготовлением препарата</t>
    </r>
  </si>
  <si>
    <t>Выявление скрытой зараженности:</t>
  </si>
  <si>
    <t>Метод рентгенографии</t>
  </si>
  <si>
    <t>средняя проба</t>
  </si>
  <si>
    <t>Метод флотации, окрашивания и др.</t>
  </si>
  <si>
    <t>Контрольный метод</t>
  </si>
  <si>
    <r>
      <t>Доращивание вредителей растений до стадии имаго в лабораторных условиях</t>
    </r>
    <r>
      <rPr>
        <b/>
        <i/>
        <sz val="11"/>
        <rFont val="Times New Roman"/>
        <family val="1"/>
        <charset val="204"/>
      </rPr>
      <t xml:space="preserve"> (биологический метод)</t>
    </r>
  </si>
  <si>
    <r>
      <t xml:space="preserve">Идентификация вредителей растений: </t>
    </r>
    <r>
      <rPr>
        <b/>
        <i/>
        <sz val="11"/>
        <rFont val="Times New Roman"/>
        <family val="1"/>
        <charset val="204"/>
      </rPr>
      <t>метод - визуальный</t>
    </r>
  </si>
  <si>
    <t>Без изготовления микропрепаратов (гусеницы, личинки, бабочки, мухи, жуки (кроме капрового)</t>
  </si>
  <si>
    <t>определение</t>
  </si>
  <si>
    <t>С приготовлением микропрепаратов гениталий или других частей тела</t>
  </si>
  <si>
    <t>С приготовлением микропрепарата без специальной обработки (белокрылки, тли, минеры, капровый жук и др. виды трогодерм)</t>
  </si>
  <si>
    <t>С приготовлением микропрепаратов со специальной обработкой (щитовки, трипсы и др.)</t>
  </si>
  <si>
    <t>Средняя стоимость энтомологической экспертизы</t>
  </si>
  <si>
    <t>V. Лабораторная фитопатологическая экспертиза средних проб подкарантинной продукции (объектов)</t>
  </si>
  <si>
    <r>
      <t xml:space="preserve">Анализ подкарантинного материала на выявление возбудителей грибных заболеваний методами фитопатологических исследований (семенного материала и вегетативных частей растений, продовольственных и технических грузов, лесопродукции) </t>
    </r>
    <r>
      <rPr>
        <b/>
        <i/>
        <sz val="12"/>
        <rFont val="Times New Roman"/>
        <family val="1"/>
        <charset val="204"/>
      </rPr>
      <t>метод - визуальный</t>
    </r>
  </si>
  <si>
    <t>Подготовка средней пробы и проведение анализа на выявление признаков поражения возбудителями грибных болезней:</t>
  </si>
  <si>
    <t>семена пакетированные</t>
  </si>
  <si>
    <t>вегетативная часть растения</t>
  </si>
  <si>
    <t>семена до 2-х кг</t>
  </si>
  <si>
    <t>1.1.3.1.</t>
  </si>
  <si>
    <t>семена до 2-х кг (протравленные)</t>
  </si>
  <si>
    <t>1.1.3.2.</t>
  </si>
  <si>
    <t>семена до 2-х кг ( не протравленные)</t>
  </si>
  <si>
    <t>метод смыва спор, центрифугирования и микроскопирования</t>
  </si>
  <si>
    <t>метод микроскопирования и морфометрии</t>
  </si>
  <si>
    <t>метод влажной камеры и микроскопирования</t>
  </si>
  <si>
    <t>с использованием питательной среды</t>
  </si>
  <si>
    <t>метод микроскопирования с применением определенного материала</t>
  </si>
  <si>
    <t>Анализ средних проб почвы и клубней картофеля на рак картофеля:</t>
  </si>
  <si>
    <r>
      <t xml:space="preserve">Почвенная проба  </t>
    </r>
    <r>
      <rPr>
        <b/>
        <i/>
        <sz val="11"/>
        <rFont val="Times New Roman"/>
        <family val="1"/>
        <charset val="204"/>
      </rPr>
      <t>метод флотации</t>
    </r>
  </si>
  <si>
    <r>
      <rPr>
        <sz val="11"/>
        <rFont val="Times New Roman"/>
        <family val="1"/>
        <charset val="204"/>
      </rPr>
      <t>Средняя проба клубней</t>
    </r>
    <r>
      <rPr>
        <b/>
        <i/>
        <sz val="9"/>
        <rFont val="Times New Roman"/>
        <family val="1"/>
        <charset val="204"/>
      </rPr>
      <t xml:space="preserve">    метод (морфологический, визуально, микроскопирования)</t>
    </r>
  </si>
  <si>
    <t>Выявление и идентификация вирусов и бактерий ИФ (иммунофлюоресцентным), ИФА (иммуноферментным) методами</t>
  </si>
  <si>
    <t xml:space="preserve">Выявление и идентификация вирусов, бактерий, грибов, нематод, вредителей, ГМО методом ПЦР </t>
  </si>
  <si>
    <t>Экспертиза средней пробы на выявление всех видов нематод методом:</t>
  </si>
  <si>
    <t>Вороночный и вороночно-флотационный</t>
  </si>
  <si>
    <t xml:space="preserve">Идентификация нематод </t>
  </si>
  <si>
    <t>Морфологическим методом</t>
  </si>
  <si>
    <t>вид</t>
  </si>
  <si>
    <t>Определение жизнеспособности нематод методом микроскопирования</t>
  </si>
  <si>
    <t>циста</t>
  </si>
  <si>
    <t>Средняя стоимость микологической экспертизы</t>
  </si>
  <si>
    <t xml:space="preserve"> исследование</t>
  </si>
  <si>
    <t>Средняя стоимость бактериологической экспертизы</t>
  </si>
  <si>
    <t>Средняя стоимость вирусологической экспертизы</t>
  </si>
  <si>
    <t>Средняя стоимость гельминтологической экспертизы</t>
  </si>
  <si>
    <t>VI. Лабораторная гербологическая экспертиза средних проб подкарантинной продукции (объекта)</t>
  </si>
  <si>
    <r>
      <t xml:space="preserve">Лабораторный анализ и разбор средней пробы </t>
    </r>
    <r>
      <rPr>
        <b/>
        <i/>
        <sz val="10"/>
        <rFont val="Times New Roman"/>
        <family val="1"/>
        <charset val="204"/>
      </rPr>
      <t>(визуальный метод)</t>
    </r>
  </si>
  <si>
    <t>Экспертиза почвы (при осмотре саженцев, рассады)  методами:</t>
  </si>
  <si>
    <t>Ручное выделение семян и плодов</t>
  </si>
  <si>
    <t>Отмывка</t>
  </si>
  <si>
    <t>Насыщенные растворы</t>
  </si>
  <si>
    <r>
      <t xml:space="preserve">Экспертиза средней пробы семян на засоренность: </t>
    </r>
    <r>
      <rPr>
        <b/>
        <i/>
        <sz val="10"/>
        <rFont val="Times New Roman"/>
        <family val="1"/>
        <charset val="204"/>
      </rPr>
      <t>методом ручного выделения семян и плодов</t>
    </r>
  </si>
  <si>
    <t xml:space="preserve">Крупносеменные растения </t>
  </si>
  <si>
    <t xml:space="preserve">Среднесеменные растения </t>
  </si>
  <si>
    <t xml:space="preserve">Мелкосеменные растения </t>
  </si>
  <si>
    <t>Пакетированные семена</t>
  </si>
  <si>
    <r>
      <t xml:space="preserve">Определение видового состава семян и плодов по морфологическим признакам </t>
    </r>
    <r>
      <rPr>
        <b/>
        <i/>
        <sz val="10"/>
        <rFont val="Times New Roman"/>
        <family val="1"/>
        <charset val="204"/>
      </rPr>
      <t>(морфологическим методом)</t>
    </r>
  </si>
  <si>
    <r>
      <t xml:space="preserve">Определение видового состава семян и плодов по внутреннему строению  </t>
    </r>
    <r>
      <rPr>
        <b/>
        <i/>
        <sz val="9"/>
        <rFont val="Times New Roman"/>
        <family val="1"/>
        <charset val="204"/>
      </rPr>
      <t>(морфологическим методом)</t>
    </r>
  </si>
  <si>
    <r>
      <t xml:space="preserve">Исследование жизнеспособности семян и плодов сорных растений </t>
    </r>
    <r>
      <rPr>
        <b/>
        <i/>
        <sz val="9"/>
        <rFont val="Times New Roman"/>
        <family val="1"/>
        <charset val="204"/>
      </rPr>
      <t>метод определения  с помощью тетразолия хлористого</t>
    </r>
  </si>
  <si>
    <r>
      <t xml:space="preserve">Определение вида живого растения </t>
    </r>
    <r>
      <rPr>
        <b/>
        <i/>
        <sz val="9"/>
        <rFont val="Times New Roman"/>
        <family val="1"/>
        <charset val="204"/>
      </rPr>
      <t>(морфологическим методом)</t>
    </r>
  </si>
  <si>
    <r>
      <t xml:space="preserve">Определение вида растения по гербарному образцу </t>
    </r>
    <r>
      <rPr>
        <b/>
        <i/>
        <sz val="9"/>
        <rFont val="Times New Roman"/>
        <family val="1"/>
        <charset val="204"/>
      </rPr>
      <t>(морфологическим методом)</t>
    </r>
  </si>
  <si>
    <t>Средняя стоимость гербологической экспертизы</t>
  </si>
  <si>
    <t>VII. Изготовление ловушек, коллекций, наглядных пособий и вспомогательных материалов</t>
  </si>
  <si>
    <t>Изготовление гербарного материала</t>
  </si>
  <si>
    <t>1 лист</t>
  </si>
  <si>
    <t>Изготовление коллекций семян</t>
  </si>
  <si>
    <t>VIII. Коэффициенты надбавок за выполнение услуг по карантину растений в особых условиях</t>
  </si>
  <si>
    <t>Проведение карантинного фитосанитарного визуального осмотра в особо сложных условиях (в отдаленных от основного рабочего места районах, а также при неблагоприятных погодных условиях)</t>
  </si>
  <si>
    <t>коэффициент</t>
  </si>
  <si>
    <t>Проведение визуального осмотра протравленных семян</t>
  </si>
  <si>
    <t>Проведение визуального осмотра подкарантинной лесопродукции</t>
  </si>
  <si>
    <t>нижний склад</t>
  </si>
  <si>
    <t>авиатранспорт</t>
  </si>
  <si>
    <t>накопительная площадка и автотранспорт</t>
  </si>
  <si>
    <t>железнодорожный транспорт</t>
  </si>
  <si>
    <t>речной и морской транспорт</t>
  </si>
  <si>
    <t>Проведение работ в праздничные и выходные дни</t>
  </si>
  <si>
    <t>Внеочередное (срочное) выполнение работ</t>
  </si>
  <si>
    <t>Определение поврежденных насекомых и фрагментов</t>
  </si>
  <si>
    <t>Определение особо опасных видов, отсутствующих на территории РФ, а также поврежденных насекомых в т.ч. по их фрагментам</t>
  </si>
  <si>
    <t>2,0-4,0</t>
  </si>
  <si>
    <t>Определение малоизученных некарантинных видов (грибы, бактерии, фитоплазмы, вирусы, нематоды)</t>
  </si>
  <si>
    <t>1,5-3,0</t>
  </si>
  <si>
    <t>Определение вида редко встречающихся семян, плодов и сорных растений</t>
  </si>
  <si>
    <t>Орган по сертификации продукции</t>
  </si>
  <si>
    <t>№                                       п/п</t>
  </si>
  <si>
    <t>Наименование услуги</t>
  </si>
  <si>
    <t>Срок действия</t>
  </si>
  <si>
    <t>Стоимость услуги            без НДС, руб.</t>
  </si>
  <si>
    <t>НДС 20%,                           руб.</t>
  </si>
  <si>
    <t>Стоимость услуги                                                    с НДС,                         руб.</t>
  </si>
  <si>
    <t>Добровольная сертификация в Системе сертификации  ГОСТ Р        (партия)</t>
  </si>
  <si>
    <t>услуга</t>
  </si>
  <si>
    <t>-</t>
  </si>
  <si>
    <t>Добровольная сертификация в Системе сертификации  ГОСТ Р (серия)</t>
  </si>
  <si>
    <t>1 год</t>
  </si>
  <si>
    <t>Регистрация декларации о соответствии продукции ( в Системе сертификации ГОСТ Р, по Единым  требованиям ТС, ТР ТС)    (партия)</t>
  </si>
  <si>
    <t xml:space="preserve">Регистрация декларации о соответствии продукции ( в Системе сертификации ГОСТ Р, по Единым  требованиям ТС, ТР ТС)     (серия)                                                                                       </t>
  </si>
  <si>
    <t>свыше                             1 года</t>
  </si>
  <si>
    <t>Работы по проведению инспекционного контроля за сертифицированной продукцией</t>
  </si>
  <si>
    <r>
      <t xml:space="preserve">Заверение копий сертификата соответствия производится в размере 0,5 Т min за 1-10 копий и </t>
    </r>
    <r>
      <rPr>
        <sz val="12"/>
        <rFont val="Calibri"/>
        <family val="2"/>
        <charset val="204"/>
      </rPr>
      <t>{</t>
    </r>
    <r>
      <rPr>
        <sz val="12"/>
        <rFont val="Times New Roman"/>
        <family val="1"/>
        <charset val="204"/>
      </rPr>
      <t>0,5+0,04х(М-10)</t>
    </r>
    <r>
      <rPr>
        <sz val="12"/>
        <rFont val="Calibri"/>
        <family val="2"/>
        <charset val="204"/>
      </rPr>
      <t>}</t>
    </r>
    <r>
      <rPr>
        <sz val="12"/>
        <rFont val="Times New Roman"/>
        <family val="1"/>
        <charset val="204"/>
      </rPr>
      <t xml:space="preserve"> х Т min - свыше 10 копий, где М - число копий сертификата, Т min - минимальная месячная заработная плата, установленная законодательством.</t>
    </r>
  </si>
  <si>
    <t>Орган инспекции</t>
  </si>
  <si>
    <t>Оформление и выдача экспертного заключения (без выезда специалиста, отбора проб, обследования)</t>
  </si>
  <si>
    <t>1чел/час</t>
  </si>
  <si>
    <t>Заверение копий экспертного заключения</t>
  </si>
  <si>
    <t>Стоимость  услуг Органа инспекции по отбору проб, выезда специалиста, проведения обследования взимается согласно прейскуранта Учреждения в разрезе по каждому направлению в сфере оказываемых услуг.</t>
  </si>
  <si>
    <t xml:space="preserve">Сельскохозяйственные культуры </t>
  </si>
  <si>
    <t>38.</t>
  </si>
  <si>
    <t>партия до 50 шт                                                                                                (геометрический и визуальный методы)</t>
  </si>
  <si>
    <t>партия   более 50 шт                                                                                             (геометрический и визуальный методы)</t>
  </si>
  <si>
    <t>Семена овощных  и цветочных культур с массой партии менее 100 г (всхожесть)</t>
  </si>
  <si>
    <r>
      <t xml:space="preserve">зараженность семян болезнями         </t>
    </r>
    <r>
      <rPr>
        <sz val="9"/>
        <rFont val="Times New Roman"/>
        <family val="1"/>
        <charset val="204"/>
      </rPr>
      <t xml:space="preserve"> </t>
    </r>
    <r>
      <rPr>
        <sz val="8"/>
        <rFont val="Times New Roman"/>
        <family val="1"/>
        <charset val="204"/>
      </rPr>
      <t xml:space="preserve"> (анализ семян во влажной камере) биологический метод</t>
    </r>
  </si>
  <si>
    <r>
      <t xml:space="preserve">зараженность семян болезнями         </t>
    </r>
    <r>
      <rPr>
        <sz val="9"/>
        <rFont val="Times New Roman"/>
        <family val="1"/>
        <charset val="204"/>
      </rPr>
      <t xml:space="preserve">  (анализ семян в рулонах фильтровальной бумаги)</t>
    </r>
  </si>
  <si>
    <t>Обнаружение РНК вируса SARS-CoV-2 в биоматериале от животных методом ПЦР</t>
  </si>
  <si>
    <t>Определение фипронила методом ГХ-МС</t>
  </si>
  <si>
    <t>Обнаружение растительных масел и жиров на растительной основе методом ГХ-МС</t>
  </si>
  <si>
    <t>Пестициды методом ГХ-МС в почве</t>
  </si>
  <si>
    <t>Пестициды методом ГХ-МС в зерне</t>
  </si>
  <si>
    <t>Пестициды методом ГХ-МС в овощах</t>
  </si>
  <si>
    <t>Пестициды методом ГХ-МС во фруктах</t>
  </si>
  <si>
    <t>Определение микробной трансглутаминазы</t>
  </si>
  <si>
    <t>63</t>
  </si>
  <si>
    <t>Пестициды методом  ГЖХ и ГХ-МС:</t>
  </si>
  <si>
    <t>64</t>
  </si>
  <si>
    <t>65</t>
  </si>
  <si>
    <t>66</t>
  </si>
  <si>
    <t>67</t>
  </si>
  <si>
    <t>Медоксипрогистеронацетат</t>
  </si>
  <si>
    <t>на оказание государственных услуг (выполнение работ)                                                                                                                                                        ФГБУ «Оренбургский референтный центр Россельхознадзора» в рамках выполнения государственного задания</t>
  </si>
  <si>
    <t>Сельскохозяйственные культуры *</t>
  </si>
  <si>
    <t>зараженность семян болезнями               (биологический метод)</t>
  </si>
  <si>
    <t>партия  более 50 шт                                                                                              (геометрический и визуальный методы)</t>
  </si>
  <si>
    <t>партия  более 50 шт                                                                                                (геометрический и визуальный методы)</t>
  </si>
  <si>
    <t>партия  до 50 шт                                                                                               (геометрический и визуальный методы)</t>
  </si>
  <si>
    <t>3.   Определение ГМО</t>
  </si>
  <si>
    <t>4.   Определение сортовой принадлежности и сортовой чистоты</t>
  </si>
  <si>
    <t>1.1</t>
  </si>
  <si>
    <t>1.2</t>
  </si>
  <si>
    <t>1.3</t>
  </si>
  <si>
    <t>1.4</t>
  </si>
  <si>
    <t>1.5</t>
  </si>
  <si>
    <t>1.6</t>
  </si>
  <si>
    <t>1.7</t>
  </si>
  <si>
    <t>1.8</t>
  </si>
  <si>
    <t>5.1</t>
  </si>
  <si>
    <t>5.2</t>
  </si>
  <si>
    <t>5.3</t>
  </si>
  <si>
    <t>5.4</t>
  </si>
  <si>
    <t>12.1</t>
  </si>
  <si>
    <t>12.2</t>
  </si>
  <si>
    <t>16.1</t>
  </si>
  <si>
    <t>16.2</t>
  </si>
  <si>
    <t>16.3</t>
  </si>
  <si>
    <t>16.4</t>
  </si>
  <si>
    <t>17.3</t>
  </si>
  <si>
    <t>17.4</t>
  </si>
  <si>
    <t>17.5</t>
  </si>
  <si>
    <t>17.6</t>
  </si>
  <si>
    <t>17.7</t>
  </si>
  <si>
    <t>17.8</t>
  </si>
  <si>
    <t>17.9</t>
  </si>
  <si>
    <t>17.10</t>
  </si>
  <si>
    <t>17.11</t>
  </si>
  <si>
    <t>17.12</t>
  </si>
  <si>
    <t>Исследования методом ГЖХ и микроскопии</t>
  </si>
  <si>
    <t>меняли от 28 февраля</t>
  </si>
  <si>
    <t>19.1</t>
  </si>
  <si>
    <t>19.2</t>
  </si>
  <si>
    <t>19.3</t>
  </si>
  <si>
    <t>МЕНЯЛИ</t>
  </si>
  <si>
    <r>
      <t xml:space="preserve">Определение ГМО </t>
    </r>
    <r>
      <rPr>
        <sz val="11"/>
        <rFont val="Times New Roman"/>
        <family val="1"/>
        <charset val="204"/>
      </rPr>
      <t xml:space="preserve"> (количественный м-д)</t>
    </r>
  </si>
  <si>
    <t xml:space="preserve"> Исследование мяса и мясных продуктов</t>
  </si>
  <si>
    <t>1.23</t>
  </si>
  <si>
    <t>34.2.</t>
  </si>
  <si>
    <t>34.3.</t>
  </si>
  <si>
    <t>34.4.</t>
  </si>
  <si>
    <t>34.5.</t>
  </si>
  <si>
    <t>34.6.</t>
  </si>
  <si>
    <t>Синегнойная палочка</t>
  </si>
  <si>
    <t>Кишечная палочка</t>
  </si>
  <si>
    <t>Пастереллы</t>
  </si>
  <si>
    <t>Энтерококки</t>
  </si>
  <si>
    <t>Протей</t>
  </si>
  <si>
    <t>Токсинообразующие анаэробы</t>
  </si>
  <si>
    <t>Общемикробное число</t>
  </si>
  <si>
    <t>Фосфорорганические соединения (фотометрический м-д)</t>
  </si>
  <si>
    <t>37.5.</t>
  </si>
  <si>
    <t>37.6.</t>
  </si>
  <si>
    <t>37.7.</t>
  </si>
  <si>
    <t>Лейкоз КРС методом  ИФА</t>
  </si>
  <si>
    <t>38.1.</t>
  </si>
  <si>
    <t>38.4.</t>
  </si>
  <si>
    <t>38.5.</t>
  </si>
  <si>
    <t>38.6.</t>
  </si>
  <si>
    <t>38.10.</t>
  </si>
  <si>
    <t>38.11.</t>
  </si>
  <si>
    <t>22.28.1.</t>
  </si>
  <si>
    <t>37.16.</t>
  </si>
  <si>
    <t>37.18.</t>
  </si>
  <si>
    <t>38.16.</t>
  </si>
  <si>
    <t>22.35.2.</t>
  </si>
  <si>
    <t>Определение зольности</t>
  </si>
  <si>
    <t>37.20.</t>
  </si>
  <si>
    <t>38.18.</t>
  </si>
  <si>
    <t>37.23.</t>
  </si>
  <si>
    <t>37.24.</t>
  </si>
  <si>
    <t>38.25.</t>
  </si>
  <si>
    <t>2 исследование</t>
  </si>
  <si>
    <t>3 исследование</t>
  </si>
  <si>
    <t>4 исследование</t>
  </si>
  <si>
    <t>5 исследование</t>
  </si>
  <si>
    <t>6 исследование</t>
  </si>
  <si>
    <t>7 исследование</t>
  </si>
  <si>
    <t>8 исследование</t>
  </si>
  <si>
    <t>9 исследование</t>
  </si>
  <si>
    <t>10 исследование</t>
  </si>
  <si>
    <t>11 исследование</t>
  </si>
  <si>
    <t>12 исследование</t>
  </si>
  <si>
    <t>38.18</t>
  </si>
  <si>
    <t>38.20</t>
  </si>
  <si>
    <t>24.1.</t>
  </si>
  <si>
    <r>
      <t xml:space="preserve">I. Лабораторная энтомологическая экспертиза средних проб подкарантинной продукции (объектов) </t>
    </r>
    <r>
      <rPr>
        <b/>
        <i/>
        <sz val="11"/>
        <rFont val="Times New Roman"/>
        <family val="1"/>
        <charset val="204"/>
      </rPr>
      <t>метод визуальный</t>
    </r>
  </si>
  <si>
    <t>2. Лабораторная фитопатологическая экспертиза средних проб подкарантинной продукции (объектов)</t>
  </si>
  <si>
    <t>III. Лабораторная гербологическая экспертиза средних проб подкарантинной продукции (объекта)</t>
  </si>
  <si>
    <t>- 1 год</t>
  </si>
  <si>
    <t>- 2 года</t>
  </si>
  <si>
    <t>- 3 года</t>
  </si>
  <si>
    <t>свыше 1 года</t>
  </si>
  <si>
    <t>было в 2020г</t>
  </si>
  <si>
    <t>1.6.1.</t>
  </si>
  <si>
    <t>20.1</t>
  </si>
  <si>
    <t>30.1.</t>
  </si>
  <si>
    <t>30.2.</t>
  </si>
  <si>
    <t>32.1.</t>
  </si>
  <si>
    <t>32.2.</t>
  </si>
  <si>
    <t>36.1.</t>
  </si>
  <si>
    <t>36.2.</t>
  </si>
  <si>
    <t>38.2.</t>
  </si>
  <si>
    <t>39.</t>
  </si>
  <si>
    <t>40.</t>
  </si>
  <si>
    <t>41.</t>
  </si>
  <si>
    <t>42.</t>
  </si>
  <si>
    <t>42.1.</t>
  </si>
  <si>
    <t>42.2.</t>
  </si>
  <si>
    <t>42.3.</t>
  </si>
  <si>
    <t>43.</t>
  </si>
  <si>
    <t>44.</t>
  </si>
  <si>
    <t>45.</t>
  </si>
  <si>
    <t>45.1.</t>
  </si>
  <si>
    <t>45.2.</t>
  </si>
  <si>
    <t>45.3.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</si>
  <si>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</si>
  <si>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</si>
  <si>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</si>
  <si>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</si>
  <si>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</si>
  <si>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</si>
  <si>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</si>
  <si>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</si>
  <si>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</si>
  <si>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</si>
  <si>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</si>
  <si>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</si>
  <si>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</si>
  <si>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</si>
  <si>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</si>
  <si>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</si>
  <si>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</si>
  <si>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</si>
  <si>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</si>
  <si>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</si>
  <si>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</si>
  <si>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</si>
  <si>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</si>
  <si>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</si>
  <si>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</si>
  <si>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</si>
  <si>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</si>
  <si>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</si>
  <si>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21.1.1.</t>
  </si>
  <si>
    <t>25.1.</t>
  </si>
  <si>
    <t>29.1.</t>
  </si>
  <si>
    <t>33.2.1.</t>
  </si>
  <si>
    <t>34.1.</t>
  </si>
  <si>
    <t>36.3.</t>
  </si>
  <si>
    <t>36.4.</t>
  </si>
  <si>
    <t>36.5.</t>
  </si>
  <si>
    <t>36.6.</t>
  </si>
  <si>
    <t>36.7.</t>
  </si>
  <si>
    <t>36.8.</t>
  </si>
  <si>
    <t>60.1</t>
  </si>
  <si>
    <t>60.2</t>
  </si>
  <si>
    <t>60.3</t>
  </si>
  <si>
    <t>60.4</t>
  </si>
  <si>
    <t>60.5</t>
  </si>
  <si>
    <t>60.6</t>
  </si>
  <si>
    <t>60.7</t>
  </si>
  <si>
    <t>60.8</t>
  </si>
  <si>
    <t>60.9</t>
  </si>
  <si>
    <t>61.1</t>
  </si>
  <si>
    <t>61.2</t>
  </si>
  <si>
    <t>61.3</t>
  </si>
  <si>
    <t>Определение содержания микотоксинов и макроциклических лактонов методом ВЭЖХ</t>
  </si>
  <si>
    <t>Лактоны резорциловой кислоты (макроциклические лактоны)</t>
  </si>
  <si>
    <t>8.8</t>
  </si>
  <si>
    <t>23.13</t>
  </si>
  <si>
    <t>23.14</t>
  </si>
  <si>
    <t>23.15</t>
  </si>
  <si>
    <t>23.16</t>
  </si>
  <si>
    <t>23.17</t>
  </si>
  <si>
    <t>Определение ангельминтиков</t>
  </si>
  <si>
    <t>Определение антибактериальных, лекарственных средств и стимуляторов роста методом ВЭЖХ-МС</t>
  </si>
  <si>
    <t>Определение фикотоксинов</t>
  </si>
  <si>
    <t>Определение препаратов хиноксалинового ряда</t>
  </si>
  <si>
    <t>Определение цефалоспоринов</t>
  </si>
  <si>
    <t>Определение ксенобиотиков в меде</t>
  </si>
  <si>
    <t>17.13</t>
  </si>
  <si>
    <t>17.14</t>
  </si>
  <si>
    <t>17.15</t>
  </si>
  <si>
    <t>68</t>
  </si>
  <si>
    <t>69</t>
  </si>
  <si>
    <t>Определение пестицидов в меде методом ГХ-МС</t>
  </si>
  <si>
    <t>Определение инсектоакарицидов методом ГХ-МС</t>
  </si>
  <si>
    <t>70</t>
  </si>
  <si>
    <t>Определение пестицидов и красителей методом СВЭЖХ-ВПМС</t>
  </si>
  <si>
    <t>Определение инсектоакарицидов методом СВЭЖХ-ВПМС</t>
  </si>
  <si>
    <t>39.1</t>
  </si>
  <si>
    <t>40.1</t>
  </si>
  <si>
    <t>41.1</t>
  </si>
  <si>
    <t>13.1</t>
  </si>
  <si>
    <t>13.2</t>
  </si>
  <si>
    <t>13.3</t>
  </si>
  <si>
    <t>13.4</t>
  </si>
  <si>
    <t>13.5</t>
  </si>
  <si>
    <t>13.6</t>
  </si>
  <si>
    <t>13.7</t>
  </si>
  <si>
    <t>13.8</t>
  </si>
  <si>
    <t>13.9</t>
  </si>
  <si>
    <t>13.10</t>
  </si>
  <si>
    <t>13.11</t>
  </si>
  <si>
    <t>13.12</t>
  </si>
  <si>
    <t>18.13</t>
  </si>
  <si>
    <t>18.14</t>
  </si>
  <si>
    <t>18.15</t>
  </si>
  <si>
    <t>18.16</t>
  </si>
  <si>
    <t>18.17</t>
  </si>
  <si>
    <t>20.2</t>
  </si>
  <si>
    <t>20.3</t>
  </si>
  <si>
    <t>20.4</t>
  </si>
  <si>
    <t>20.5</t>
  </si>
  <si>
    <t>20.6</t>
  </si>
  <si>
    <t>20.5.1</t>
  </si>
  <si>
    <t>20.6.1</t>
  </si>
  <si>
    <t>20.6.2</t>
  </si>
  <si>
    <t>20.6.3</t>
  </si>
  <si>
    <t>20.6.4</t>
  </si>
  <si>
    <t>20.6.5</t>
  </si>
  <si>
    <t>20.6.6</t>
  </si>
  <si>
    <t>20.6.7</t>
  </si>
  <si>
    <t>20.6.8</t>
  </si>
  <si>
    <t>42.1</t>
  </si>
  <si>
    <t>23.10.1</t>
  </si>
  <si>
    <t>23.10.2</t>
  </si>
  <si>
    <t>Определение  линкозаминов</t>
  </si>
  <si>
    <t>Определение  плевромутилинов</t>
  </si>
  <si>
    <t>Определение  макролидов</t>
  </si>
  <si>
    <t>18.10.1</t>
  </si>
  <si>
    <t>18.10.2</t>
  </si>
  <si>
    <t>Оформление протокола исследований (испытаний)</t>
  </si>
  <si>
    <t>Сопровождение декларирования соответствия продукции по заявке заказчика: подготовка пакета документов, необходимых для принятия заявителем декларации о соответствии, оформление проекта декларации о соответствии, её подготовка к регистрации в реестре (партия)</t>
  </si>
  <si>
    <t>Сопровождение декларирования соответствия продукции по заявке заказчика: подготовка пакета документов, необходимых для принятия заявителем декларации о соответствии, оформление проекта декларации о соответствии, её подготовка к регистрации в реестре (серия)</t>
  </si>
  <si>
    <t>26.1.</t>
  </si>
  <si>
    <t>Сера подвижная (фотометрический метод)</t>
  </si>
  <si>
    <t>Установление карантинного фитосанитарного состояния подкарантинной продукции для выявления семян сорных растений, вредителей и признаков болезней в горшечных растениях, посевном и посадочном материале:</t>
  </si>
  <si>
    <t>Установление карантинного фитосанитарного состояния подкарантинной продукции для выявления семян сорных растений, вредителей и признаков болезней в подкарантинной продукции, предназначенной для продовольственных и фуражных целей:</t>
  </si>
  <si>
    <t xml:space="preserve">Установление карантинного фитосанитарного состояния для выявления вредителей и болезней в биологическом коллекционном материале; исследование на выявление живых фитопатогенных бактерий, вирусов только для научно исследовательских целей;
исследование коллекций и предметы коллекционирования по зоологии, ботанике
</t>
  </si>
  <si>
    <t>III. Установление карантинного фитосанитарного состояния подкарантинного объекта для выявления вредителей при исследовании посевов, посадок:</t>
  </si>
  <si>
    <r>
      <t xml:space="preserve">Установление карантинного фитосанитарного состояния подкарантинной продукции для выявления семян сорных растений, вредителей и признаков болезней в подкарантинной продукции, предназначенной для технических целей:  </t>
    </r>
    <r>
      <rPr>
        <b/>
        <i/>
        <sz val="12"/>
        <rFont val="Times New Roman"/>
        <family val="1"/>
        <charset val="204"/>
      </rPr>
      <t>метод - вручную</t>
    </r>
  </si>
  <si>
    <r>
      <t xml:space="preserve">Установление карантинного фитосанитарного состояния подкарантинной продукции для выявления семян сорных растений, вредителей и признаков болезней в таре и упаковочных материалах: </t>
    </r>
    <r>
      <rPr>
        <b/>
        <i/>
        <sz val="11"/>
        <rFont val="Times New Roman"/>
        <family val="1"/>
        <charset val="204"/>
      </rPr>
      <t xml:space="preserve"> метод - вручную (с использованием пилы, свёрл, стамески)</t>
    </r>
  </si>
  <si>
    <r>
      <t xml:space="preserve">Установление карантинного фитосанитарного состояния подкарантинного объекта для выявления семян сорных растений, вредителей и признаков болезней в транспортных средствах:  </t>
    </r>
    <r>
      <rPr>
        <b/>
        <i/>
        <sz val="12"/>
        <rFont val="Times New Roman"/>
        <family val="1"/>
        <charset val="204"/>
      </rPr>
      <t xml:space="preserve">метод - вручную  </t>
    </r>
  </si>
  <si>
    <r>
      <rPr>
        <sz val="11"/>
        <rFont val="Times New Roman"/>
        <family val="1"/>
        <charset val="204"/>
      </rPr>
      <t>Определение нитрозаминов</t>
    </r>
    <r>
      <rPr>
        <sz val="12"/>
        <rFont val="Times New Roman"/>
        <family val="1"/>
        <charset val="204"/>
      </rPr>
      <t xml:space="preserve">  </t>
    </r>
    <r>
      <rPr>
        <sz val="11"/>
        <rFont val="Times New Roman"/>
        <family val="1"/>
        <charset val="204"/>
      </rPr>
      <t>(метод ТСХ)</t>
    </r>
  </si>
  <si>
    <t>Идентификация ГМ сои линий GTS 40-3-2</t>
  </si>
  <si>
    <t>Идентификация ГМ сои линий A 2704-12</t>
  </si>
  <si>
    <t>Идентификация ГМ сои линий A 5547-127</t>
  </si>
  <si>
    <t>Идентификация ГМ сои линий BPS-CV-127-12</t>
  </si>
  <si>
    <t>20.5.2</t>
  </si>
  <si>
    <t>20.5.3</t>
  </si>
  <si>
    <t>20.5.4</t>
  </si>
  <si>
    <t>20.5.5</t>
  </si>
  <si>
    <t>20.5.6</t>
  </si>
  <si>
    <t>20.5.7</t>
  </si>
  <si>
    <t>20.5.8</t>
  </si>
  <si>
    <t>Идентификация  ГМ сои линий MON 89788</t>
  </si>
  <si>
    <t>Идентификация  ГМ сои линий MON 87701</t>
  </si>
  <si>
    <t>Идентификация  ГМ сои линий SYHTOH2</t>
  </si>
  <si>
    <t>Идентификация  ГМ сои линий FG 72</t>
  </si>
  <si>
    <t>Идентификация ГМ сои линий BPS-CV-127-9</t>
  </si>
  <si>
    <t>Идентификация  ГМ сои линий  FG 72</t>
  </si>
  <si>
    <t>32.3</t>
  </si>
  <si>
    <t>32.4</t>
  </si>
  <si>
    <t>32.5</t>
  </si>
  <si>
    <t>32.6</t>
  </si>
  <si>
    <t>32.7</t>
  </si>
  <si>
    <t>32.8</t>
  </si>
  <si>
    <t>СЕМЕНОВОДСТВО</t>
  </si>
  <si>
    <t>СЕРТИФИКАЦИЯ</t>
  </si>
  <si>
    <t>5.   Анализ семян по ISTA</t>
  </si>
  <si>
    <t>6.   Определение ГМО</t>
  </si>
  <si>
    <t>7.   Определение сортовой принадлежности и сортовой чистоты</t>
  </si>
  <si>
    <t xml:space="preserve">  КАЧЕСТВО И БЕЗОПАСНОСТЬ ЗЕРНА И ПРОДУКТОВ ЕГО ПЕРЕРАБОТКИ</t>
  </si>
  <si>
    <t>АГРОХИМИЯ, ПЛОДОРОДИЕ ПОЧВ, ОЦЕНКА КАЧЕСТВА ЗЕМЕЛЬ И ТЕХНОГЕННОГО ЗАГРЯЗНЕНИЯ</t>
  </si>
  <si>
    <t xml:space="preserve"> ФИТОСАНИТАРИЯ И КАРАНТИН РАСТЕНИЙ</t>
  </si>
  <si>
    <t>Испытания и (или) экспертиза проб (образцов) семян сельскохозяйственных растений</t>
  </si>
  <si>
    <t xml:space="preserve">         Испытания и (или) экспертиза подконтрольных государственному ветеринарному контролю (надзору) товаров</t>
  </si>
  <si>
    <t>1.   Анализ семян</t>
  </si>
  <si>
    <t xml:space="preserve">  Исследования в области качества и безопасности зерна и продуктов переработки зерна</t>
  </si>
  <si>
    <t>Испытания (лабораторные исследования) почв</t>
  </si>
  <si>
    <t>Исследования в области карантина растений (исследования проб и (или) образцов подкарантинной продукции в целях выявления наличия или отсутствия в ней признаков заражения и (или) засорения карантинными объектами)</t>
  </si>
  <si>
    <t>Без изготовления микропрепаратов (гусеницы, личинки, бабочки, мухи, жуки (кроме капрового жука)</t>
  </si>
  <si>
    <t>запах муки, крупы, отрубей с прогревом пробы</t>
  </si>
  <si>
    <t>запах муки, крупы, отрубей без прогрева пробы</t>
  </si>
  <si>
    <t>вкус муки, крупы, отрубей</t>
  </si>
  <si>
    <t>Определение масличности по прибору ЯМР (м-д ядерного магнитного резонанса)</t>
  </si>
  <si>
    <t>Определение картофельной болезни хлеба (м-д пробной выпечки)</t>
  </si>
  <si>
    <t>Определение массовой доли белка в пересчете на сухое вещество</t>
  </si>
  <si>
    <t>Определение массовой доли масла в пересчете на сухое вещество</t>
  </si>
  <si>
    <t>Наличие зерен с ярко-зеленой флуоресценцией.</t>
  </si>
  <si>
    <t>74.</t>
  </si>
  <si>
    <t>75.</t>
  </si>
  <si>
    <t>76.</t>
  </si>
  <si>
    <t xml:space="preserve">          ВЕТЕРИНАРИЯ</t>
  </si>
  <si>
    <t>Диагностические исследования инфекций</t>
  </si>
  <si>
    <t xml:space="preserve">          ПИЩЕВАЯ ПРОДУКЦИЯ И ВОДА</t>
  </si>
  <si>
    <t>5.9.</t>
  </si>
  <si>
    <t>5.10.</t>
  </si>
  <si>
    <t>5.11.</t>
  </si>
  <si>
    <t>5.12.</t>
  </si>
  <si>
    <t>5.13.</t>
  </si>
  <si>
    <t>ПРОЧИЕ НАПРАВЛЕНИЯ</t>
  </si>
  <si>
    <t>Сопровождение декларирования соответствия продукции по заявке заказчика</t>
  </si>
  <si>
    <t>40.2</t>
  </si>
  <si>
    <t>40.3</t>
  </si>
  <si>
    <t>42.3</t>
  </si>
  <si>
    <t>42.4</t>
  </si>
  <si>
    <t>42.6</t>
  </si>
  <si>
    <t>42.9</t>
  </si>
  <si>
    <t>42.10</t>
  </si>
  <si>
    <t>42.11</t>
  </si>
  <si>
    <t>42.12</t>
  </si>
  <si>
    <t>42.13</t>
  </si>
  <si>
    <t>42.14</t>
  </si>
  <si>
    <t>42.15</t>
  </si>
  <si>
    <t>42.16</t>
  </si>
  <si>
    <t>42.17</t>
  </si>
  <si>
    <t>42.18</t>
  </si>
  <si>
    <t>42.19</t>
  </si>
  <si>
    <t>42.20</t>
  </si>
  <si>
    <t>42.21</t>
  </si>
  <si>
    <t>42.22</t>
  </si>
  <si>
    <t>42.23</t>
  </si>
  <si>
    <t>42.24</t>
  </si>
  <si>
    <t>42.25</t>
  </si>
  <si>
    <t>42.26</t>
  </si>
  <si>
    <t>42.27</t>
  </si>
  <si>
    <t>42.28</t>
  </si>
  <si>
    <t>42.29</t>
  </si>
  <si>
    <t>42.30</t>
  </si>
  <si>
    <t>42.31</t>
  </si>
  <si>
    <t>42.32</t>
  </si>
  <si>
    <t>42.33</t>
  </si>
  <si>
    <t>42.34</t>
  </si>
  <si>
    <t>42.35</t>
  </si>
  <si>
    <t>42.36</t>
  </si>
  <si>
    <t>42.37</t>
  </si>
  <si>
    <t>42.38</t>
  </si>
  <si>
    <t>43.1</t>
  </si>
  <si>
    <t>Испытания или экспертиза в области безопасного обращения с пестицидами и агрохимикатами в части соблюдения регламентов применения пестицидов и агрохимикатов при производстве сельскохозяйственной продукции</t>
  </si>
  <si>
    <t>Массовая доля спирта (физико-химический м-д)</t>
  </si>
  <si>
    <t>6.17.</t>
  </si>
  <si>
    <t>8.4.</t>
  </si>
  <si>
    <t>8.5.</t>
  </si>
  <si>
    <t>8.6.</t>
  </si>
  <si>
    <t>8.7.</t>
  </si>
  <si>
    <t>8.8.</t>
  </si>
  <si>
    <t>8.9.</t>
  </si>
  <si>
    <t>9.10.</t>
  </si>
  <si>
    <t>9.11.</t>
  </si>
  <si>
    <t>9.12.</t>
  </si>
  <si>
    <t>9.13.</t>
  </si>
  <si>
    <t>9.14.</t>
  </si>
  <si>
    <t>11.14.</t>
  </si>
  <si>
    <t>11.15.</t>
  </si>
  <si>
    <t>11.16.</t>
  </si>
  <si>
    <t>11.17.</t>
  </si>
  <si>
    <t>11.18.</t>
  </si>
  <si>
    <t>11.19.</t>
  </si>
  <si>
    <t>11.20.</t>
  </si>
  <si>
    <t>11.21.</t>
  </si>
  <si>
    <t>11.22.</t>
  </si>
  <si>
    <t>11.23.</t>
  </si>
  <si>
    <t>11.24.</t>
  </si>
  <si>
    <t>11.25.</t>
  </si>
  <si>
    <t>11.26.</t>
  </si>
  <si>
    <t>11.27.</t>
  </si>
  <si>
    <t>11.28.</t>
  </si>
  <si>
    <t>14.2.</t>
  </si>
  <si>
    <t>14.3.</t>
  </si>
  <si>
    <t>14.4.</t>
  </si>
  <si>
    <t>14.5.</t>
  </si>
  <si>
    <t>14.6.</t>
  </si>
  <si>
    <t>14.7.</t>
  </si>
  <si>
    <t>14.8.</t>
  </si>
  <si>
    <t>14.9.</t>
  </si>
  <si>
    <t>14.10.</t>
  </si>
  <si>
    <t>14.11.</t>
  </si>
  <si>
    <t>14.12.</t>
  </si>
  <si>
    <t>14.13.</t>
  </si>
  <si>
    <t>14.14.</t>
  </si>
  <si>
    <t>14.15.</t>
  </si>
  <si>
    <t>14.16.</t>
  </si>
  <si>
    <t>14.17.</t>
  </si>
  <si>
    <t>14.18.</t>
  </si>
  <si>
    <t>14.19.</t>
  </si>
  <si>
    <t>14.20.</t>
  </si>
  <si>
    <t>14.21.</t>
  </si>
  <si>
    <t>14.22.</t>
  </si>
  <si>
    <t>14.23.</t>
  </si>
  <si>
    <t>14.24.</t>
  </si>
  <si>
    <t>14.25.</t>
  </si>
  <si>
    <t>14.26.</t>
  </si>
  <si>
    <t>14.27.</t>
  </si>
  <si>
    <t>14.28.</t>
  </si>
  <si>
    <t>14.29.</t>
  </si>
  <si>
    <t>14.30.</t>
  </si>
  <si>
    <t>14.31.</t>
  </si>
  <si>
    <t>14.32.</t>
  </si>
  <si>
    <t>14.33.</t>
  </si>
  <si>
    <t>14.34.</t>
  </si>
  <si>
    <t>14.35.</t>
  </si>
  <si>
    <t>14.36.</t>
  </si>
  <si>
    <t>14.37.</t>
  </si>
  <si>
    <t>14.38.</t>
  </si>
  <si>
    <t>14.39.</t>
  </si>
  <si>
    <t>14.40.</t>
  </si>
  <si>
    <t>14.41.</t>
  </si>
  <si>
    <t>14.42.</t>
  </si>
  <si>
    <t>14.43.</t>
  </si>
  <si>
    <t>14.44.</t>
  </si>
  <si>
    <t>15.5.</t>
  </si>
  <si>
    <t>15.6.</t>
  </si>
  <si>
    <t>15.7.</t>
  </si>
  <si>
    <t>15.8.</t>
  </si>
  <si>
    <t>15.9.</t>
  </si>
  <si>
    <t>паровые поля и не возделываемые земли</t>
  </si>
  <si>
    <t>Определение уреазы (ионометрический м-д)</t>
  </si>
  <si>
    <t>Исследование на паразитарные болезни мяса и мясопродуктов (эхиноккоз, саркотцестоз,и др.)  (микроскопический м-д)</t>
  </si>
  <si>
    <t>Определение количества бифидобактерий, лактобактерий (микробиологический м-д)</t>
  </si>
  <si>
    <t>Определение редуктазы с резазурином (физико-химический м-д)</t>
  </si>
  <si>
    <t>Определение Трихинеллы (Trichinella spiralis) микроскопический метод</t>
  </si>
  <si>
    <t>Определение сульфитредуцирующих клостридий микроскопический метод</t>
  </si>
  <si>
    <r>
      <t xml:space="preserve">Определение мыла </t>
    </r>
    <r>
      <rPr>
        <sz val="8"/>
        <rFont val="Times New Roman"/>
        <family val="1"/>
        <charset val="204"/>
      </rPr>
      <t>(визуальный м-д)</t>
    </r>
  </si>
  <si>
    <r>
      <t xml:space="preserve">Определение массовой доли сорбиновой кислоты </t>
    </r>
    <r>
      <rPr>
        <sz val="10"/>
        <rFont val="Times New Roman"/>
        <family val="1"/>
        <charset val="204"/>
      </rPr>
      <t>(спектрофотометрический экспресс-метод)</t>
    </r>
  </si>
  <si>
    <t>Исследования ввозимых пестицидов и агрохимикатов в целях оценки соответствия требованиям действующего регистрационного свидетельства о государственной регистрации пестицида и (или) агрохимиката</t>
  </si>
  <si>
    <t>Осмотр животных для оформления ветеринарных сопроводительных документов, включающая проведение клинического осмотра и изучение ветеринарных документов</t>
  </si>
  <si>
    <t>одна голова</t>
  </si>
  <si>
    <t>Организация проведения ветеринарного осмотра объектов, транспортных средств, сырья и продукции растительного и животного происхождения, кормов</t>
  </si>
  <si>
    <t>2.1</t>
  </si>
  <si>
    <t>предварительный осмотр продукции животноводства, сырья животного происхождения, кормов для животных с целью оформления ветеринарно-сопроводительных документов</t>
  </si>
  <si>
    <t>одна туша/ одна партия</t>
  </si>
  <si>
    <t>2.2</t>
  </si>
  <si>
    <t>осмотр мяса, подвергнутого полной ветеринарно-санитарной экспертизе</t>
  </si>
  <si>
    <t xml:space="preserve">одна туша </t>
  </si>
  <si>
    <t>2.3</t>
  </si>
  <si>
    <t>осмотр субпродуктов промышленной выработки</t>
  </si>
  <si>
    <t>одна партия</t>
  </si>
  <si>
    <t>2.4</t>
  </si>
  <si>
    <t>осмотр продукции птицеводства</t>
  </si>
  <si>
    <t>2.5</t>
  </si>
  <si>
    <t>осмотр рыбы промышленной выработки</t>
  </si>
  <si>
    <t>2.6</t>
  </si>
  <si>
    <t>осмотр икры</t>
  </si>
  <si>
    <t>2.7</t>
  </si>
  <si>
    <t>осмотр колбасных и других изделий промышленной выработки</t>
  </si>
  <si>
    <t>2.8</t>
  </si>
  <si>
    <t>осмотр кормов, комбикормов, побочных продуктов мукомольно-крупяного производства (отруби пшеничные, ржаные, мучки мукомольные, крупяные, кормовые зерновые отходы, дерть зерновых культур), муки мясо-костной, костной, шрота, сена, соломы, и др. фуража, растительных масел и кормовых жиров для производства кормов и комбикормов</t>
  </si>
  <si>
    <t>до 1 тонны</t>
  </si>
  <si>
    <t>2.9</t>
  </si>
  <si>
    <t>свыше 1 тонны</t>
  </si>
  <si>
    <t>2.10</t>
  </si>
  <si>
    <t>осмотр молока и молочной продукции промышленной выработки, сыров</t>
  </si>
  <si>
    <t>2.11</t>
  </si>
  <si>
    <t>осмотр яйца инкубационного, молодняка птицы предназначенных для реализации и (или) транспортировки</t>
  </si>
  <si>
    <t>2.12</t>
  </si>
  <si>
    <t>за один объект</t>
  </si>
  <si>
    <t>бланк</t>
  </si>
  <si>
    <t>обследование объектов, предприятий переработки, производства, транспортировки, хранения и реализации животноводческой и растительной продукции и сырья</t>
  </si>
  <si>
    <t>Оформление ветеринарных сопроводительных документов (стоимость самого бланка и голограммы)</t>
  </si>
  <si>
    <t>Ветеринарный осмотр и оформление ветеринарных документов</t>
  </si>
  <si>
    <t>Вирус ящура методом ПЦР</t>
  </si>
  <si>
    <t>18.18</t>
  </si>
  <si>
    <t>18.19</t>
  </si>
  <si>
    <t>18.20</t>
  </si>
  <si>
    <t>18.21</t>
  </si>
  <si>
    <t>18.22</t>
  </si>
  <si>
    <t>18.23</t>
  </si>
  <si>
    <t>18.24</t>
  </si>
  <si>
    <t>18.25</t>
  </si>
  <si>
    <t>18.26</t>
  </si>
  <si>
    <t>18.27</t>
  </si>
  <si>
    <t>Определение  анаболических стероидов и производных стильбена методом ВЭЖХ-МС</t>
  </si>
  <si>
    <t>Определение седативных препаратов и адреноблокаторов методом ВЭЖХ-МС</t>
  </si>
  <si>
    <t>Определение трифенилметановых красителей методом ВЭЖХ-МС</t>
  </si>
  <si>
    <t>Определение анаболических стероидов и производных стильбена методом ВЭЖХ-МС</t>
  </si>
  <si>
    <t>Определение  тренболона, меленгестрол ацетата, нортестостерона и лактонов резорциловой кислоты методом ВЭЖХ-МС</t>
  </si>
  <si>
    <t>Определение остаточного содержания нестероидных противовоспалительных лекарственных средств методом ВЭЖХ-МС</t>
  </si>
  <si>
    <t>Определение содержания β-адреностимуляторов методом ВЭЖХ-МС</t>
  </si>
  <si>
    <t>Определение содержания тиреостатиков методом ВЭЖХ-МС</t>
  </si>
  <si>
    <t>Определение микотоксинов методом ВЭЖХ-МС</t>
  </si>
  <si>
    <t>Определение антипротозойных препаратов методом ВЭЖХ-МС</t>
  </si>
  <si>
    <t>23.18</t>
  </si>
  <si>
    <t>23.19</t>
  </si>
  <si>
    <t>23.20</t>
  </si>
  <si>
    <t>23.21</t>
  </si>
  <si>
    <t>23.22</t>
  </si>
  <si>
    <t>23.23</t>
  </si>
  <si>
    <t>23.24</t>
  </si>
  <si>
    <t>23.25</t>
  </si>
  <si>
    <t>23.26</t>
  </si>
  <si>
    <t>23.27</t>
  </si>
  <si>
    <t>28.1.</t>
  </si>
  <si>
    <t>32.9</t>
  </si>
  <si>
    <t>32.10</t>
  </si>
  <si>
    <t>Идентификация ГМ сои линии DP-356043</t>
  </si>
  <si>
    <t>Идентификация ГМ сои линии DP-305423</t>
  </si>
  <si>
    <t>20.5.9</t>
  </si>
  <si>
    <t>20.5.10</t>
  </si>
  <si>
    <t>Исследования в области карантина растений (исследования при мониторинге карантинного фитосанитарного состояния территории Российской Федерации)</t>
  </si>
  <si>
    <t>Выдача экспертного заключения при рассмотрении материалов по объектам и работам на соответствие ветеринарно-санитарным требованиям</t>
  </si>
  <si>
    <t xml:space="preserve">* Стоимость анализа  протравленных семян увеличивается в 1,7 раза.                                                                                                                                                                                                                         </t>
  </si>
  <si>
    <t>* Стоимость анализа  протравленных семян увеличивается в 1,7 раза.                                                                                                                                                                                                                         * При расчете стоимости анализа семян на зараженность болезнями биологическим методом в п.32 раздел 1 "Анализ семян" для   постоянных клиентов цена договорная.</t>
  </si>
  <si>
    <t>19.2.</t>
  </si>
  <si>
    <t>Наличие зерен с ярко-зеленой флуоресценцией</t>
  </si>
  <si>
    <t>Определение содержания ядра расчетно-весовым методом</t>
  </si>
  <si>
    <t>Определение органолептических показателей</t>
  </si>
  <si>
    <t xml:space="preserve">                "____"______________2023 г.  </t>
  </si>
  <si>
    <t>Выявление и идентификация вирусов, бактерий, грибов, нематод, вредителей, ГМО методом ПЦР (бактериологическая экспертиза) Пробоподготовка</t>
  </si>
  <si>
    <t>Выявление и идентификация вирусов, бактерий, грибов, нематод, вредителей, ГМО методом ПЦР (бактериологическая экспертиза) Детекция</t>
  </si>
  <si>
    <t>Выявление и идентификация вирусов, бактерий, грибов, нематод, вредителей, ГМО методом ПЦР                                (вирусологическая экспертиза) Пробоподготовка</t>
  </si>
  <si>
    <t>Выявление и идентификация вирусов, бактерий, грибов, нематод, вредителей, ГМО методом ПЦР                                (вирусологическая экспертиза) Детекция</t>
  </si>
  <si>
    <t>Выявление и идентификация вирусов, бактерий, грибов, нематод, вредителей, ГМО методом ПЦР (гельминтологическая экспертиза) Пробоподготовка</t>
  </si>
  <si>
    <t>Выявление и идентификация вирусов, бактерий, грибов, нематод, вредителей, ГМО методом ПЦР (гельминтологическая экспертиза) Детекция</t>
  </si>
  <si>
    <t>8.9</t>
  </si>
  <si>
    <t>Определение массовой доли патулина</t>
  </si>
  <si>
    <t>Антитела вируса ящура (тип А, тип О, тип Азия-1) методом ИФА</t>
  </si>
  <si>
    <t>РНК вируса чумы МРС методом ПЦР</t>
  </si>
  <si>
    <t>Определение Энтерококков методом микробиологического контроля</t>
  </si>
  <si>
    <t>ОКБ (Общие колиформные бактерий)  методом микробиологического контроля</t>
  </si>
  <si>
    <t>Патогенные бактерии в т.ч сальмонелла методом микробиологического контроля</t>
  </si>
  <si>
    <t>ОМЧ (Общее микробное число) методом микробиологического контроля</t>
  </si>
  <si>
    <t>Определение  S. Aureus       (классический метод)</t>
  </si>
  <si>
    <t>Определение содержания анаболических стероидов и производных стильбена с помощью газовой хроматографии с масс-спектрометрическим детектором</t>
  </si>
  <si>
    <t>Определение пефлоксацина методом ВЭЖХ-МС</t>
  </si>
  <si>
    <t>Определение   содержания авиламицина методом ВЭЖХ МС/МС</t>
  </si>
  <si>
    <t>Определение нитровина, 4-нитрофенолята и нифурстирената методом ВЭЖХ-МС</t>
  </si>
  <si>
    <t>Определение азитромицина, китасамицина, тилдипирозина методом ВЭЖХ-МС</t>
  </si>
  <si>
    <t>Определение рифампицина и рифаксимина методом ВЭЖХ-МС</t>
  </si>
  <si>
    <t>Определение  остаточного содержания дапсона и тиамфеникола методом ВЭЖХ МС/МС</t>
  </si>
  <si>
    <t>Определение зоалена методом ВЭЖХ-МС</t>
  </si>
  <si>
    <t>Определение   остаточного содержания красителей методом ВЭЖХ МС/МС</t>
  </si>
  <si>
    <t>Определение глифосата и продуктов его метаболизма методом ВЭЖХ-МС в кормах и кормовом сырье</t>
  </si>
  <si>
    <t>Определение глифосата и продукта его метаболизма методом ВЭЖХ-МС  в меде</t>
  </si>
  <si>
    <t>Определение глифосата и продукта его метаболизма методом ВЭЖХ-МС в продукции животноводства</t>
  </si>
  <si>
    <t>18.28</t>
  </si>
  <si>
    <t>18.29</t>
  </si>
  <si>
    <t>18.30</t>
  </si>
  <si>
    <t>18.31</t>
  </si>
  <si>
    <t>18.32</t>
  </si>
  <si>
    <t>18.33</t>
  </si>
  <si>
    <t>18.34</t>
  </si>
  <si>
    <t>18.35</t>
  </si>
  <si>
    <t>18.36</t>
  </si>
  <si>
    <t>18.37</t>
  </si>
  <si>
    <t>18.38</t>
  </si>
  <si>
    <t>№  п/п</t>
  </si>
  <si>
    <t>Стоимость услуг            (без НДС),         (руб.)</t>
  </si>
  <si>
    <t>Определение концентрации нитратов</t>
  </si>
  <si>
    <t>Определение массовой доли (концентрации) действующего вещества методом жидкостной хроматографии</t>
  </si>
  <si>
    <t>Определение массовой доли (концентрации)  действующего вещества методом газовой хроматографии</t>
  </si>
  <si>
    <t>23.28</t>
  </si>
  <si>
    <t>23.29</t>
  </si>
  <si>
    <t>23.30</t>
  </si>
  <si>
    <t>23.31</t>
  </si>
  <si>
    <t>23.32</t>
  </si>
  <si>
    <t>23.33</t>
  </si>
  <si>
    <t>23.34</t>
  </si>
  <si>
    <t>23.35</t>
  </si>
  <si>
    <t>23.36</t>
  </si>
  <si>
    <t>23.37</t>
  </si>
  <si>
    <t>23.38</t>
  </si>
  <si>
    <t>71</t>
  </si>
  <si>
    <t>71.1</t>
  </si>
  <si>
    <t>40.4</t>
  </si>
  <si>
    <t>40.5</t>
  </si>
  <si>
    <t>41.2</t>
  </si>
  <si>
    <t>41.3</t>
  </si>
  <si>
    <t>43.2</t>
  </si>
  <si>
    <t>43.3</t>
  </si>
  <si>
    <t>43.4</t>
  </si>
  <si>
    <t>43.5</t>
  </si>
  <si>
    <t>43.6</t>
  </si>
  <si>
    <t>43.7</t>
  </si>
  <si>
    <t>44.1</t>
  </si>
  <si>
    <t>45. Диагностические исследования инфекций</t>
  </si>
  <si>
    <t>45.1.2.</t>
  </si>
  <si>
    <t>45.2.1.</t>
  </si>
  <si>
    <t>45.2.2.</t>
  </si>
  <si>
    <t>45.3.1.</t>
  </si>
  <si>
    <t>45.3.2.</t>
  </si>
  <si>
    <t>45.4.</t>
  </si>
  <si>
    <t>45.4.1.</t>
  </si>
  <si>
    <t>45.4.2.</t>
  </si>
  <si>
    <t>45.5.</t>
  </si>
  <si>
    <t>45.5.1.</t>
  </si>
  <si>
    <t>45.5.2.</t>
  </si>
  <si>
    <t>45.6.</t>
  </si>
  <si>
    <t>45.6.1.</t>
  </si>
  <si>
    <t>45.6.2.</t>
  </si>
  <si>
    <t>45.7.</t>
  </si>
  <si>
    <t>45.7.1.</t>
  </si>
  <si>
    <t>45.8.</t>
  </si>
  <si>
    <t>45.8.1.</t>
  </si>
  <si>
    <t>45.9.</t>
  </si>
  <si>
    <t>45.9.1.</t>
  </si>
  <si>
    <t>45.10.</t>
  </si>
  <si>
    <t>45.11.</t>
  </si>
  <si>
    <t>45.11.1</t>
  </si>
  <si>
    <t>45.12.</t>
  </si>
  <si>
    <t>45.13.</t>
  </si>
  <si>
    <t>45.14.</t>
  </si>
  <si>
    <t>45.15.</t>
  </si>
  <si>
    <t>45.16.</t>
  </si>
  <si>
    <t>45.17.</t>
  </si>
  <si>
    <t>С  дополнениями и изменениями согласно Приказа № 28 от 26.01.2023г.</t>
  </si>
  <si>
    <t>С  дополнениями и изменениями согласно Приказа № 29 от 26.01.2023г.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</si>
</sst>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"/>
    <numFmt numFmtId="165" formatCode="#,##0.0000"/>
  </numFmts>
  <fonts count="56" x14ac:knownFonts="1">
    <font>
      <sz val="10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3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indexed="10"/>
      <name val="Arial Cyr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8"/>
      <name val="Arial Cyr"/>
      <family val="2"/>
      <charset val="204"/>
    </font>
    <font>
      <i/>
      <u/>
      <sz val="8"/>
      <name val="Arial Cyr"/>
      <charset val="204"/>
    </font>
    <font>
      <sz val="9"/>
      <name val="Times New Roman"/>
      <family val="1"/>
      <charset val="204"/>
    </font>
    <font>
      <sz val="10"/>
      <color indexed="20"/>
      <name val="Arial Cyr"/>
      <family val="2"/>
      <charset val="204"/>
    </font>
    <font>
      <sz val="11"/>
      <name val="Times New Roman"/>
      <family val="1"/>
      <charset val="204"/>
    </font>
    <font>
      <sz val="11"/>
      <name val="Arial Cyr"/>
      <family val="2"/>
      <charset val="204"/>
    </font>
    <font>
      <sz val="7"/>
      <name val="Arial Cyr"/>
      <family val="2"/>
      <charset val="204"/>
    </font>
    <font>
      <i/>
      <sz val="10"/>
      <name val="Arial Cyr"/>
      <family val="2"/>
      <charset val="204"/>
    </font>
    <font>
      <i/>
      <sz val="10"/>
      <color indexed="20"/>
      <name val="Arial Cyr"/>
      <family val="2"/>
      <charset val="204"/>
    </font>
    <font>
      <b/>
      <i/>
      <sz val="10"/>
      <name val="Arial Cyr"/>
      <family val="2"/>
      <charset val="204"/>
    </font>
    <font>
      <b/>
      <i/>
      <sz val="10"/>
      <color indexed="20"/>
      <name val="Arial Cyr"/>
      <family val="2"/>
      <charset val="204"/>
    </font>
    <font>
      <sz val="8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2"/>
      <name val="Times New Roman"/>
      <family val="1"/>
      <charset val="204"/>
    </font>
    <font>
      <sz val="10.5"/>
      <name val="Times New Roman"/>
      <family val="1"/>
      <charset val="204"/>
    </font>
    <font>
      <sz val="12"/>
      <name val="Arial"/>
      <family val="2"/>
      <charset val="204"/>
    </font>
    <font>
      <i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7"/>
      <name val="Times New Roman"/>
      <family val="1"/>
      <charset val="204"/>
    </font>
    <font>
      <i/>
      <sz val="9"/>
      <name val="Times New Roman"/>
      <family val="1"/>
      <charset val="204"/>
    </font>
    <font>
      <i/>
      <sz val="8"/>
      <name val="Times New Roman"/>
      <family val="1"/>
      <charset val="204"/>
    </font>
    <font>
      <i/>
      <sz val="11"/>
      <name val="Times New Roman"/>
      <family val="1"/>
      <charset val="204"/>
    </font>
    <font>
      <sz val="12"/>
      <name val="Arial Cyr"/>
      <family val="2"/>
      <charset val="204"/>
    </font>
    <font>
      <b/>
      <sz val="10.5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0"/>
      <color rgb="FFFF0000"/>
      <name val="Arial Cyr"/>
      <family val="2"/>
      <charset val="204"/>
    </font>
    <font>
      <b/>
      <sz val="9.5"/>
      <name val="Times New Roman"/>
      <family val="1"/>
      <charset val="204"/>
    </font>
    <font>
      <sz val="9.5"/>
      <name val="Times New Roman"/>
      <family val="1"/>
      <charset val="204"/>
    </font>
    <font>
      <sz val="10"/>
      <name val="Arial Cyr"/>
      <charset val="204"/>
    </font>
    <font>
      <sz val="26"/>
      <name val="Arial Cyr"/>
      <family val="2"/>
      <charset val="204"/>
    </font>
    <font>
      <sz val="28"/>
      <name val="Arial Cyr"/>
      <family val="2"/>
      <charset val="204"/>
    </font>
    <font>
      <sz val="48"/>
      <name val="Arial Cyr"/>
      <family val="2"/>
      <charset val="204"/>
    </font>
    <font>
      <sz val="11.5"/>
      <name val="Times New Roman"/>
      <family val="1"/>
      <charset val="204"/>
    </font>
    <font>
      <b/>
      <sz val="10"/>
      <name val="Arial Cyr"/>
      <charset val="204"/>
    </font>
    <font>
      <b/>
      <i/>
      <sz val="9"/>
      <name val="Times New Roman"/>
      <family val="1"/>
      <charset val="204"/>
    </font>
    <font>
      <b/>
      <i/>
      <sz val="8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12"/>
      <name val="Calibri"/>
      <family val="2"/>
      <charset val="204"/>
    </font>
    <font>
      <i/>
      <sz val="11"/>
      <name val="Arial Cyr"/>
      <family val="2"/>
      <charset val="204"/>
    </font>
    <font>
      <b/>
      <i/>
      <sz val="11"/>
      <name val="Arial Cyr"/>
      <family val="2"/>
      <charset val="204"/>
    </font>
    <font>
      <sz val="12"/>
      <name val="Calibri"/>
      <family val="2"/>
      <charset val="204"/>
      <scheme val="minor"/>
    </font>
    <font>
      <sz val="18"/>
      <name val="Arial Cyr"/>
      <family val="2"/>
      <charset val="204"/>
    </font>
    <font>
      <b/>
      <sz val="12"/>
      <name val="Arial Cyr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6">
    <xf numFmtId="0" fontId="0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</cellStyleXfs>
  <cellXfs count="546">
    <xf numFmtId="0" fontId="0" fillId="0" borderId="0" xfId="0"/>
    <xf numFmtId="0" fontId="0" fillId="2" borderId="0" xfId="0" applyFont="1" applyFill="1" applyAlignment="1">
      <alignment horizontal="left"/>
    </xf>
    <xf numFmtId="0" fontId="0" fillId="2" borderId="0" xfId="0" applyFont="1" applyFill="1"/>
    <xf numFmtId="0" fontId="0" fillId="2" borderId="0" xfId="0" applyFont="1" applyFill="1" applyAlignment="1"/>
    <xf numFmtId="0" fontId="2" fillId="2" borderId="0" xfId="0" applyFont="1" applyFill="1"/>
    <xf numFmtId="0" fontId="4" fillId="2" borderId="0" xfId="0" applyFont="1" applyFill="1" applyAlignment="1">
      <alignment horizontal="left"/>
    </xf>
    <xf numFmtId="0" fontId="9" fillId="0" borderId="0" xfId="0" applyFont="1"/>
    <xf numFmtId="0" fontId="10" fillId="2" borderId="0" xfId="0" applyFont="1" applyFill="1" applyAlignment="1">
      <alignment horizontal="center"/>
    </xf>
    <xf numFmtId="2" fontId="11" fillId="2" borderId="1" xfId="1" applyNumberFormat="1" applyFont="1" applyFill="1" applyBorder="1" applyAlignment="1">
      <alignment horizontal="center" vertical="center" wrapText="1"/>
    </xf>
    <xf numFmtId="0" fontId="12" fillId="2" borderId="3" xfId="0" applyFont="1" applyFill="1" applyBorder="1"/>
    <xf numFmtId="0" fontId="12" fillId="2" borderId="0" xfId="0" applyFont="1" applyFill="1"/>
    <xf numFmtId="0" fontId="12" fillId="0" borderId="0" xfId="0" applyFont="1"/>
    <xf numFmtId="0" fontId="14" fillId="2" borderId="1" xfId="1" applyFont="1" applyFill="1" applyBorder="1" applyAlignment="1">
      <alignment horizontal="center" vertical="center" wrapText="1"/>
    </xf>
    <xf numFmtId="4" fontId="10" fillId="2" borderId="1" xfId="1" applyNumberFormat="1" applyFont="1" applyFill="1" applyBorder="1" applyAlignment="1">
      <alignment horizontal="center" vertical="center" wrapText="1"/>
    </xf>
    <xf numFmtId="4" fontId="10" fillId="2" borderId="1" xfId="1" applyNumberFormat="1" applyFont="1" applyFill="1" applyBorder="1" applyAlignment="1">
      <alignment horizontal="center" vertical="center"/>
    </xf>
    <xf numFmtId="0" fontId="15" fillId="0" borderId="0" xfId="0" applyFont="1"/>
    <xf numFmtId="0" fontId="14" fillId="2" borderId="1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164" fontId="18" fillId="2" borderId="3" xfId="0" applyNumberFormat="1" applyFont="1" applyFill="1" applyBorder="1"/>
    <xf numFmtId="164" fontId="18" fillId="2" borderId="2" xfId="0" applyNumberFormat="1" applyFont="1" applyFill="1" applyBorder="1"/>
    <xf numFmtId="0" fontId="19" fillId="2" borderId="3" xfId="0" applyFont="1" applyFill="1" applyBorder="1"/>
    <xf numFmtId="0" fontId="19" fillId="2" borderId="0" xfId="0" applyFont="1" applyFill="1" applyBorder="1"/>
    <xf numFmtId="0" fontId="20" fillId="0" borderId="0" xfId="0" applyFont="1"/>
    <xf numFmtId="0" fontId="21" fillId="2" borderId="3" xfId="0" applyFont="1" applyFill="1" applyBorder="1" applyAlignment="1">
      <alignment horizontal="center" vertical="center"/>
    </xf>
    <xf numFmtId="0" fontId="21" fillId="2" borderId="0" xfId="0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3" fillId="2" borderId="1" xfId="1" applyFont="1" applyFill="1" applyBorder="1" applyAlignment="1">
      <alignment horizontal="center" vertical="center" wrapText="1"/>
    </xf>
    <xf numFmtId="2" fontId="3" fillId="2" borderId="8" xfId="1" applyNumberFormat="1" applyFont="1" applyFill="1" applyBorder="1" applyAlignment="1">
      <alignment horizontal="center" vertical="center" wrapText="1"/>
    </xf>
    <xf numFmtId="0" fontId="16" fillId="2" borderId="1" xfId="1" applyFont="1" applyFill="1" applyBorder="1" applyAlignment="1">
      <alignment horizontal="center" vertical="center" wrapText="1"/>
    </xf>
    <xf numFmtId="2" fontId="3" fillId="2" borderId="9" xfId="1" applyNumberFormat="1" applyFont="1" applyFill="1" applyBorder="1" applyAlignment="1">
      <alignment horizontal="center" vertical="center" wrapText="1"/>
    </xf>
    <xf numFmtId="0" fontId="19" fillId="2" borderId="10" xfId="0" applyFont="1" applyFill="1" applyBorder="1"/>
    <xf numFmtId="0" fontId="19" fillId="2" borderId="0" xfId="0" applyFont="1" applyFill="1"/>
    <xf numFmtId="49" fontId="25" fillId="2" borderId="0" xfId="0" applyNumberFormat="1" applyFont="1" applyFill="1" applyBorder="1" applyAlignment="1">
      <alignment horizontal="center" vertical="center" wrapText="1"/>
    </xf>
    <xf numFmtId="0" fontId="25" fillId="2" borderId="0" xfId="0" applyFont="1" applyFill="1" applyBorder="1" applyAlignment="1">
      <alignment horizontal="left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25" fillId="2" borderId="0" xfId="0" applyFont="1" applyFill="1" applyBorder="1" applyAlignment="1">
      <alignment horizontal="center" vertical="center" wrapText="1"/>
    </xf>
    <xf numFmtId="2" fontId="25" fillId="2" borderId="0" xfId="0" applyNumberFormat="1" applyFont="1" applyFill="1" applyBorder="1" applyAlignment="1">
      <alignment horizontal="center" vertical="center"/>
    </xf>
    <xf numFmtId="1" fontId="24" fillId="2" borderId="1" xfId="1" applyNumberFormat="1" applyFont="1" applyFill="1" applyBorder="1" applyAlignment="1">
      <alignment horizontal="center" vertical="center"/>
    </xf>
    <xf numFmtId="0" fontId="11" fillId="2" borderId="1" xfId="1" applyNumberFormat="1" applyFont="1" applyFill="1" applyBorder="1" applyAlignment="1" applyProtection="1">
      <alignment horizontal="center" vertical="center"/>
    </xf>
    <xf numFmtId="0" fontId="0" fillId="2" borderId="0" xfId="0" applyFill="1"/>
    <xf numFmtId="4" fontId="10" fillId="2" borderId="1" xfId="1" applyNumberFormat="1" applyFont="1" applyFill="1" applyBorder="1" applyAlignment="1" applyProtection="1">
      <alignment horizontal="center" vertical="center"/>
    </xf>
    <xf numFmtId="0" fontId="15" fillId="2" borderId="0" xfId="0" applyFont="1" applyFill="1"/>
    <xf numFmtId="0" fontId="10" fillId="2" borderId="1" xfId="1" applyNumberFormat="1" applyFont="1" applyFill="1" applyBorder="1" applyAlignment="1" applyProtection="1">
      <alignment horizontal="left" vertical="center" wrapText="1"/>
    </xf>
    <xf numFmtId="49" fontId="10" fillId="2" borderId="7" xfId="0" applyNumberFormat="1" applyFont="1" applyFill="1" applyBorder="1" applyAlignment="1" applyProtection="1">
      <alignment horizontal="center" vertical="center"/>
    </xf>
    <xf numFmtId="0" fontId="10" fillId="2" borderId="0" xfId="0" applyFont="1" applyFill="1" applyBorder="1" applyAlignment="1">
      <alignment horizontal="left" vertical="center" wrapText="1"/>
    </xf>
    <xf numFmtId="0" fontId="10" fillId="2" borderId="0" xfId="0" applyNumberFormat="1" applyFont="1" applyFill="1" applyBorder="1" applyAlignment="1" applyProtection="1">
      <alignment horizontal="center" vertical="center" wrapText="1"/>
    </xf>
    <xf numFmtId="0" fontId="10" fillId="2" borderId="0" xfId="0" applyNumberFormat="1" applyFont="1" applyFill="1" applyBorder="1" applyAlignment="1" applyProtection="1">
      <alignment horizontal="center" vertical="center"/>
    </xf>
    <xf numFmtId="2" fontId="10" fillId="2" borderId="0" xfId="0" applyNumberFormat="1" applyFont="1" applyFill="1" applyBorder="1" applyAlignment="1">
      <alignment horizontal="center" vertical="center"/>
    </xf>
    <xf numFmtId="2" fontId="10" fillId="2" borderId="3" xfId="0" applyNumberFormat="1" applyFont="1" applyFill="1" applyBorder="1" applyAlignment="1">
      <alignment horizontal="center" vertical="center"/>
    </xf>
    <xf numFmtId="49" fontId="11" fillId="2" borderId="0" xfId="0" applyNumberFormat="1" applyFont="1" applyFill="1" applyBorder="1" applyAlignment="1" applyProtection="1">
      <alignment horizontal="center" vertical="center"/>
    </xf>
    <xf numFmtId="49" fontId="11" fillId="2" borderId="1" xfId="0" applyNumberFormat="1" applyFont="1" applyFill="1" applyBorder="1" applyAlignment="1" applyProtection="1">
      <alignment horizontal="center" vertical="center" wrapText="1"/>
    </xf>
    <xf numFmtId="0" fontId="11" fillId="2" borderId="1" xfId="0" applyNumberFormat="1" applyFont="1" applyFill="1" applyBorder="1" applyAlignment="1" applyProtection="1">
      <alignment horizontal="center" vertical="center" wrapText="1"/>
    </xf>
    <xf numFmtId="0" fontId="27" fillId="2" borderId="1" xfId="1" applyNumberFormat="1" applyFont="1" applyFill="1" applyBorder="1" applyAlignment="1" applyProtection="1">
      <alignment horizontal="center" vertical="center"/>
    </xf>
    <xf numFmtId="0" fontId="10" fillId="2" borderId="1" xfId="0" applyNumberFormat="1" applyFont="1" applyFill="1" applyBorder="1" applyAlignment="1" applyProtection="1">
      <alignment vertical="center" wrapText="1"/>
    </xf>
    <xf numFmtId="49" fontId="10" fillId="2" borderId="0" xfId="0" applyNumberFormat="1" applyFont="1" applyFill="1" applyBorder="1" applyAlignment="1" applyProtection="1">
      <alignment horizontal="center" vertical="center" wrapText="1"/>
    </xf>
    <xf numFmtId="0" fontId="10" fillId="2" borderId="0" xfId="0" applyNumberFormat="1" applyFont="1" applyFill="1" applyBorder="1" applyAlignment="1" applyProtection="1">
      <alignment horizontal="left" vertical="center" wrapText="1"/>
    </xf>
    <xf numFmtId="2" fontId="10" fillId="2" borderId="0" xfId="0" applyNumberFormat="1" applyFont="1" applyFill="1" applyBorder="1" applyAlignment="1">
      <alignment horizontal="center" vertical="center" wrapText="1"/>
    </xf>
    <xf numFmtId="0" fontId="19" fillId="0" borderId="0" xfId="0" applyFont="1"/>
    <xf numFmtId="0" fontId="25" fillId="2" borderId="0" xfId="0" applyFont="1" applyFill="1" applyAlignment="1">
      <alignment horizontal="center"/>
    </xf>
    <xf numFmtId="0" fontId="19" fillId="2" borderId="0" xfId="0" applyFont="1" applyFill="1" applyAlignment="1">
      <alignment horizontal="left"/>
    </xf>
    <xf numFmtId="0" fontId="19" fillId="2" borderId="0" xfId="0" applyFont="1" applyFill="1" applyAlignment="1">
      <alignment horizontal="center"/>
    </xf>
    <xf numFmtId="0" fontId="28" fillId="2" borderId="0" xfId="0" applyFont="1" applyFill="1" applyBorder="1" applyAlignment="1">
      <alignment horizontal="center"/>
    </xf>
    <xf numFmtId="0" fontId="28" fillId="2" borderId="0" xfId="0" applyFont="1" applyFill="1" applyBorder="1" applyAlignment="1"/>
    <xf numFmtId="0" fontId="29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top" wrapText="1"/>
    </xf>
    <xf numFmtId="0" fontId="19" fillId="2" borderId="4" xfId="0" applyFont="1" applyFill="1" applyBorder="1"/>
    <xf numFmtId="4" fontId="10" fillId="2" borderId="15" xfId="0" applyNumberFormat="1" applyFont="1" applyFill="1" applyBorder="1" applyAlignment="1">
      <alignment horizontal="center" vertical="center"/>
    </xf>
    <xf numFmtId="0" fontId="19" fillId="2" borderId="6" xfId="0" applyFont="1" applyFill="1" applyBorder="1"/>
    <xf numFmtId="4" fontId="10" fillId="2" borderId="16" xfId="0" applyNumberFormat="1" applyFont="1" applyFill="1" applyBorder="1" applyAlignment="1">
      <alignment horizontal="center" vertical="center"/>
    </xf>
    <xf numFmtId="4" fontId="10" fillId="2" borderId="18" xfId="0" applyNumberFormat="1" applyFont="1" applyFill="1" applyBorder="1" applyAlignment="1">
      <alignment horizontal="center" vertical="center"/>
    </xf>
    <xf numFmtId="0" fontId="19" fillId="2" borderId="13" xfId="0" applyFont="1" applyFill="1" applyBorder="1"/>
    <xf numFmtId="4" fontId="10" fillId="2" borderId="20" xfId="0" applyNumberFormat="1" applyFont="1" applyFill="1" applyBorder="1" applyAlignment="1">
      <alignment horizontal="center" vertical="center"/>
    </xf>
    <xf numFmtId="4" fontId="10" fillId="2" borderId="17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left" vertical="top"/>
    </xf>
    <xf numFmtId="4" fontId="10" fillId="2" borderId="2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top" wrapText="1"/>
    </xf>
    <xf numFmtId="0" fontId="19" fillId="2" borderId="0" xfId="0" applyFont="1" applyFill="1" applyBorder="1" applyAlignment="1">
      <alignment horizontal="left"/>
    </xf>
    <xf numFmtId="2" fontId="25" fillId="2" borderId="0" xfId="0" applyNumberFormat="1" applyFont="1" applyFill="1" applyBorder="1" applyAlignment="1">
      <alignment horizontal="center"/>
    </xf>
    <xf numFmtId="2" fontId="25" fillId="2" borderId="0" xfId="0" applyNumberFormat="1" applyFont="1" applyFill="1" applyBorder="1" applyAlignment="1"/>
    <xf numFmtId="0" fontId="20" fillId="0" borderId="0" xfId="0" applyFont="1" applyAlignment="1">
      <alignment wrapText="1"/>
    </xf>
    <xf numFmtId="0" fontId="16" fillId="2" borderId="1" xfId="0" applyFont="1" applyFill="1" applyBorder="1" applyAlignment="1">
      <alignment horizontal="center" vertical="center" wrapText="1"/>
    </xf>
    <xf numFmtId="0" fontId="24" fillId="2" borderId="0" xfId="0" applyFont="1" applyFill="1" applyBorder="1" applyAlignment="1">
      <alignment horizontal="center" vertical="top"/>
    </xf>
    <xf numFmtId="0" fontId="16" fillId="2" borderId="0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 wrapText="1"/>
    </xf>
    <xf numFmtId="4" fontId="10" fillId="2" borderId="1" xfId="0" applyNumberFormat="1" applyFont="1" applyFill="1" applyBorder="1" applyAlignment="1">
      <alignment horizontal="center" vertical="center" wrapText="1"/>
    </xf>
    <xf numFmtId="4" fontId="10" fillId="2" borderId="22" xfId="0" applyNumberFormat="1" applyFont="1" applyFill="1" applyBorder="1" applyAlignment="1">
      <alignment horizontal="center" vertical="center" wrapText="1"/>
    </xf>
    <xf numFmtId="4" fontId="10" fillId="2" borderId="23" xfId="0" applyNumberFormat="1" applyFont="1" applyFill="1" applyBorder="1" applyAlignment="1">
      <alignment horizontal="center" vertical="center" wrapText="1"/>
    </xf>
    <xf numFmtId="4" fontId="10" fillId="2" borderId="16" xfId="0" applyNumberFormat="1" applyFont="1" applyFill="1" applyBorder="1" applyAlignment="1">
      <alignment horizontal="center" vertical="center" wrapText="1"/>
    </xf>
    <xf numFmtId="4" fontId="10" fillId="2" borderId="0" xfId="0" applyNumberFormat="1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vertical="center"/>
    </xf>
    <xf numFmtId="0" fontId="24" fillId="2" borderId="1" xfId="0" applyFont="1" applyFill="1" applyBorder="1" applyAlignment="1">
      <alignment horizontal="center" vertical="center" wrapText="1"/>
    </xf>
    <xf numFmtId="2" fontId="24" fillId="2" borderId="1" xfId="1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vertical="center" wrapText="1"/>
    </xf>
    <xf numFmtId="49" fontId="29" fillId="2" borderId="1" xfId="0" applyNumberFormat="1" applyFont="1" applyFill="1" applyBorder="1" applyAlignment="1">
      <alignment horizontal="center" vertical="center" wrapText="1"/>
    </xf>
    <xf numFmtId="4" fontId="10" fillId="2" borderId="0" xfId="1" applyNumberFormat="1" applyFont="1" applyFill="1" applyBorder="1" applyAlignment="1">
      <alignment horizontal="center" vertical="center"/>
    </xf>
    <xf numFmtId="2" fontId="10" fillId="2" borderId="1" xfId="1" applyNumberFormat="1" applyFont="1" applyFill="1" applyBorder="1" applyAlignment="1">
      <alignment horizontal="center" vertical="center"/>
    </xf>
    <xf numFmtId="0" fontId="16" fillId="2" borderId="1" xfId="1" applyFont="1" applyFill="1" applyBorder="1" applyAlignment="1">
      <alignment horizontal="left" vertical="center" wrapText="1"/>
    </xf>
    <xf numFmtId="0" fontId="10" fillId="2" borderId="1" xfId="1" applyFont="1" applyFill="1" applyBorder="1" applyAlignment="1">
      <alignment vertical="center" wrapText="1"/>
    </xf>
    <xf numFmtId="0" fontId="26" fillId="2" borderId="1" xfId="1" applyFont="1" applyFill="1" applyBorder="1" applyAlignment="1">
      <alignment horizontal="left" vertical="center" wrapText="1"/>
    </xf>
    <xf numFmtId="2" fontId="10" fillId="2" borderId="1" xfId="1" applyNumberFormat="1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left" vertical="center"/>
    </xf>
    <xf numFmtId="0" fontId="16" fillId="2" borderId="1" xfId="0" applyFont="1" applyFill="1" applyBorder="1" applyAlignment="1">
      <alignment horizontal="left" vertical="center" wrapText="1"/>
    </xf>
    <xf numFmtId="0" fontId="16" fillId="2" borderId="1" xfId="1" applyNumberFormat="1" applyFont="1" applyFill="1" applyBorder="1" applyAlignment="1">
      <alignment horizontal="left" vertical="center" wrapText="1"/>
    </xf>
    <xf numFmtId="0" fontId="10" fillId="2" borderId="1" xfId="1" applyNumberFormat="1" applyFont="1" applyFill="1" applyBorder="1" applyAlignment="1">
      <alignment horizontal="left" vertical="center" wrapText="1"/>
    </xf>
    <xf numFmtId="49" fontId="16" fillId="2" borderId="1" xfId="0" applyNumberFormat="1" applyFont="1" applyFill="1" applyBorder="1" applyAlignment="1">
      <alignment horizontal="left" vertical="center" wrapText="1"/>
    </xf>
    <xf numFmtId="49" fontId="29" fillId="2" borderId="1" xfId="1" applyNumberFormat="1" applyFont="1" applyFill="1" applyBorder="1" applyAlignment="1">
      <alignment horizontal="center" vertical="center" wrapText="1"/>
    </xf>
    <xf numFmtId="49" fontId="11" fillId="2" borderId="1" xfId="1" applyNumberFormat="1" applyFont="1" applyFill="1" applyBorder="1" applyAlignment="1">
      <alignment horizontal="center" vertical="center" wrapText="1"/>
    </xf>
    <xf numFmtId="49" fontId="11" fillId="2" borderId="1" xfId="1" applyNumberFormat="1" applyFont="1" applyFill="1" applyBorder="1" applyAlignment="1">
      <alignment horizontal="center" vertical="center"/>
    </xf>
    <xf numFmtId="49" fontId="10" fillId="2" borderId="1" xfId="1" applyNumberFormat="1" applyFont="1" applyFill="1" applyBorder="1" applyAlignment="1">
      <alignment horizontal="center" vertical="center"/>
    </xf>
    <xf numFmtId="0" fontId="3" fillId="2" borderId="1" xfId="1" applyFont="1" applyFill="1" applyBorder="1" applyAlignment="1">
      <alignment horizontal="left" vertical="center" wrapText="1"/>
    </xf>
    <xf numFmtId="0" fontId="34" fillId="2" borderId="0" xfId="0" applyFont="1" applyFill="1" applyAlignment="1">
      <alignment horizontal="center"/>
    </xf>
    <xf numFmtId="0" fontId="34" fillId="2" borderId="0" xfId="0" applyFont="1" applyFill="1" applyAlignment="1">
      <alignment horizontal="left"/>
    </xf>
    <xf numFmtId="49" fontId="35" fillId="2" borderId="1" xfId="0" applyNumberFormat="1" applyFont="1" applyFill="1" applyBorder="1" applyAlignment="1">
      <alignment horizontal="center" vertical="center"/>
    </xf>
    <xf numFmtId="49" fontId="26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left" vertical="center"/>
    </xf>
    <xf numFmtId="2" fontId="10" fillId="2" borderId="1" xfId="0" applyNumberFormat="1" applyFont="1" applyFill="1" applyBorder="1" applyAlignment="1">
      <alignment horizontal="center" vertical="center"/>
    </xf>
    <xf numFmtId="49" fontId="35" fillId="2" borderId="0" xfId="0" applyNumberFormat="1" applyFont="1" applyFill="1" applyBorder="1" applyAlignment="1">
      <alignment horizontal="center" vertical="center"/>
    </xf>
    <xf numFmtId="0" fontId="10" fillId="2" borderId="0" xfId="1" applyFont="1" applyFill="1" applyBorder="1" applyAlignment="1">
      <alignment horizontal="center" vertical="center" wrapText="1"/>
    </xf>
    <xf numFmtId="4" fontId="36" fillId="2" borderId="0" xfId="0" applyNumberFormat="1" applyFont="1" applyFill="1" applyBorder="1" applyAlignment="1">
      <alignment horizontal="center" vertical="center"/>
    </xf>
    <xf numFmtId="0" fontId="35" fillId="2" borderId="1" xfId="1" applyFont="1" applyFill="1" applyBorder="1" applyAlignment="1">
      <alignment horizontal="center" vertical="center"/>
    </xf>
    <xf numFmtId="0" fontId="10" fillId="2" borderId="1" xfId="1" applyFont="1" applyFill="1" applyBorder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16" fontId="26" fillId="2" borderId="1" xfId="1" applyNumberFormat="1" applyFont="1" applyFill="1" applyBorder="1" applyAlignment="1">
      <alignment horizontal="center" vertical="center"/>
    </xf>
    <xf numFmtId="0" fontId="10" fillId="2" borderId="1" xfId="1" applyFont="1" applyFill="1" applyBorder="1" applyAlignment="1">
      <alignment wrapText="1"/>
    </xf>
    <xf numFmtId="0" fontId="26" fillId="2" borderId="1" xfId="1" applyFont="1" applyFill="1" applyBorder="1" applyAlignment="1">
      <alignment horizontal="center" vertical="center"/>
    </xf>
    <xf numFmtId="0" fontId="25" fillId="2" borderId="1" xfId="1" applyFont="1" applyFill="1" applyBorder="1" applyAlignment="1">
      <alignment vertical="center" wrapText="1"/>
    </xf>
    <xf numFmtId="0" fontId="25" fillId="2" borderId="1" xfId="1" applyFont="1" applyFill="1" applyBorder="1" applyAlignment="1">
      <alignment wrapText="1"/>
    </xf>
    <xf numFmtId="0" fontId="37" fillId="0" borderId="0" xfId="0" applyFont="1"/>
    <xf numFmtId="0" fontId="37" fillId="2" borderId="0" xfId="0" applyFont="1" applyFill="1" applyAlignment="1"/>
    <xf numFmtId="0" fontId="37" fillId="2" borderId="0" xfId="0" applyFont="1" applyFill="1"/>
    <xf numFmtId="0" fontId="35" fillId="2" borderId="1" xfId="1" applyFont="1" applyFill="1" applyBorder="1" applyAlignment="1">
      <alignment horizontal="center" vertical="center" wrapText="1"/>
    </xf>
    <xf numFmtId="0" fontId="25" fillId="2" borderId="1" xfId="1" applyFont="1" applyFill="1" applyBorder="1" applyAlignment="1">
      <alignment vertical="center"/>
    </xf>
    <xf numFmtId="4" fontId="0" fillId="0" borderId="0" xfId="0" applyNumberFormat="1"/>
    <xf numFmtId="4" fontId="0" fillId="0" borderId="0" xfId="0" applyNumberFormat="1" applyFill="1" applyBorder="1"/>
    <xf numFmtId="0" fontId="25" fillId="2" borderId="24" xfId="1" applyFont="1" applyFill="1" applyBorder="1" applyAlignment="1">
      <alignment vertical="center" wrapText="1"/>
    </xf>
    <xf numFmtId="4" fontId="37" fillId="0" borderId="0" xfId="0" applyNumberFormat="1" applyFont="1" applyAlignment="1">
      <alignment horizontal="center" vertical="center"/>
    </xf>
    <xf numFmtId="0" fontId="10" fillId="2" borderId="1" xfId="1" applyFont="1" applyFill="1" applyBorder="1" applyAlignment="1">
      <alignment horizontal="center" vertical="top" wrapText="1"/>
    </xf>
    <xf numFmtId="0" fontId="11" fillId="2" borderId="25" xfId="1" applyFont="1" applyFill="1" applyBorder="1" applyAlignment="1">
      <alignment horizontal="center" vertical="center"/>
    </xf>
    <xf numFmtId="0" fontId="25" fillId="2" borderId="17" xfId="1" applyFont="1" applyFill="1" applyBorder="1" applyAlignment="1">
      <alignment horizontal="left" wrapText="1"/>
    </xf>
    <xf numFmtId="0" fontId="10" fillId="2" borderId="17" xfId="1" applyFont="1" applyFill="1" applyBorder="1" applyAlignment="1">
      <alignment horizontal="center" vertical="center" wrapText="1"/>
    </xf>
    <xf numFmtId="2" fontId="10" fillId="2" borderId="17" xfId="1" applyNumberFormat="1" applyFont="1" applyFill="1" applyBorder="1" applyAlignment="1">
      <alignment horizontal="center" vertical="center"/>
    </xf>
    <xf numFmtId="2" fontId="10" fillId="2" borderId="26" xfId="1" applyNumberFormat="1" applyFont="1" applyFill="1" applyBorder="1" applyAlignment="1">
      <alignment horizontal="center" vertical="center"/>
    </xf>
    <xf numFmtId="0" fontId="11" fillId="2" borderId="27" xfId="1" applyFont="1" applyFill="1" applyBorder="1" applyAlignment="1">
      <alignment horizontal="center" vertical="center"/>
    </xf>
    <xf numFmtId="2" fontId="10" fillId="2" borderId="28" xfId="1" applyNumberFormat="1" applyFont="1" applyFill="1" applyBorder="1" applyAlignment="1">
      <alignment horizontal="center" vertical="center"/>
    </xf>
    <xf numFmtId="0" fontId="11" fillId="2" borderId="29" xfId="1" applyFont="1" applyFill="1" applyBorder="1" applyAlignment="1">
      <alignment horizontal="center" vertical="center"/>
    </xf>
    <xf numFmtId="0" fontId="25" fillId="2" borderId="16" xfId="1" applyFont="1" applyFill="1" applyBorder="1" applyAlignment="1">
      <alignment horizontal="left" wrapText="1"/>
    </xf>
    <xf numFmtId="0" fontId="10" fillId="2" borderId="16" xfId="1" applyFont="1" applyFill="1" applyBorder="1" applyAlignment="1">
      <alignment horizontal="center" vertical="center" wrapText="1"/>
    </xf>
    <xf numFmtId="2" fontId="10" fillId="2" borderId="16" xfId="1" applyNumberFormat="1" applyFont="1" applyFill="1" applyBorder="1" applyAlignment="1">
      <alignment horizontal="center" vertical="center"/>
    </xf>
    <xf numFmtId="2" fontId="10" fillId="2" borderId="30" xfId="1" applyNumberFormat="1" applyFont="1" applyFill="1" applyBorder="1" applyAlignment="1">
      <alignment horizontal="center" vertical="center"/>
    </xf>
    <xf numFmtId="0" fontId="11" fillId="2" borderId="0" xfId="1" applyFont="1" applyFill="1" applyBorder="1" applyAlignment="1">
      <alignment horizontal="center" vertical="center"/>
    </xf>
    <xf numFmtId="0" fontId="25" fillId="2" borderId="0" xfId="1" applyFont="1" applyFill="1" applyBorder="1" applyAlignment="1">
      <alignment wrapText="1"/>
    </xf>
    <xf numFmtId="0" fontId="10" fillId="2" borderId="0" xfId="1" applyFont="1" applyFill="1" applyBorder="1" applyAlignment="1">
      <alignment horizontal="center" vertical="top" wrapText="1"/>
    </xf>
    <xf numFmtId="2" fontId="10" fillId="2" borderId="0" xfId="1" applyNumberFormat="1" applyFont="1" applyFill="1" applyBorder="1" applyAlignment="1">
      <alignment horizontal="center" vertical="center"/>
    </xf>
    <xf numFmtId="0" fontId="38" fillId="2" borderId="1" xfId="1" applyFont="1" applyFill="1" applyBorder="1" applyAlignment="1">
      <alignment horizontal="center" vertical="center" wrapText="1"/>
    </xf>
    <xf numFmtId="0" fontId="10" fillId="2" borderId="0" xfId="1" applyFont="1" applyFill="1" applyBorder="1" applyAlignment="1">
      <alignment horizontal="left" vertical="center" wrapText="1"/>
    </xf>
    <xf numFmtId="0" fontId="0" fillId="2" borderId="0" xfId="0" applyFill="1" applyAlignment="1"/>
    <xf numFmtId="0" fontId="39" fillId="2" borderId="1" xfId="1" applyFont="1" applyFill="1" applyBorder="1" applyAlignment="1">
      <alignment horizontal="center" vertical="center" wrapText="1"/>
    </xf>
    <xf numFmtId="0" fontId="41" fillId="2" borderId="0" xfId="0" applyFont="1" applyFill="1" applyAlignment="1"/>
    <xf numFmtId="0" fontId="42" fillId="2" borderId="0" xfId="0" applyFont="1" applyFill="1" applyAlignment="1"/>
    <xf numFmtId="0" fontId="10" fillId="2" borderId="1" xfId="0" applyFont="1" applyFill="1" applyBorder="1" applyAlignment="1">
      <alignment vertical="center"/>
    </xf>
    <xf numFmtId="0" fontId="10" fillId="2" borderId="1" xfId="1" applyFont="1" applyFill="1" applyBorder="1" applyAlignment="1">
      <alignment horizontal="left" wrapText="1"/>
    </xf>
    <xf numFmtId="49" fontId="44" fillId="2" borderId="1" xfId="0" applyNumberFormat="1" applyFont="1" applyFill="1" applyBorder="1" applyAlignment="1">
      <alignment horizontal="left" vertical="center" wrapText="1"/>
    </xf>
    <xf numFmtId="0" fontId="16" fillId="2" borderId="0" xfId="1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vertical="center"/>
    </xf>
    <xf numFmtId="49" fontId="29" fillId="2" borderId="7" xfId="1" applyNumberFormat="1" applyFont="1" applyFill="1" applyBorder="1" applyAlignment="1">
      <alignment horizontal="center" vertical="center"/>
    </xf>
    <xf numFmtId="0" fontId="3" fillId="2" borderId="0" xfId="1" applyFont="1" applyFill="1" applyBorder="1" applyAlignment="1">
      <alignment horizontal="left" vertical="center"/>
    </xf>
    <xf numFmtId="0" fontId="3" fillId="2" borderId="0" xfId="1" applyFont="1" applyFill="1" applyBorder="1" applyAlignment="1">
      <alignment horizontal="center" vertical="center"/>
    </xf>
    <xf numFmtId="2" fontId="3" fillId="2" borderId="0" xfId="1" applyNumberFormat="1" applyFont="1" applyFill="1" applyBorder="1" applyAlignment="1">
      <alignment horizontal="center" vertical="center"/>
    </xf>
    <xf numFmtId="1" fontId="11" fillId="2" borderId="1" xfId="1" applyNumberFormat="1" applyFont="1" applyFill="1" applyBorder="1" applyAlignment="1">
      <alignment horizontal="center" vertical="center" wrapText="1"/>
    </xf>
    <xf numFmtId="4" fontId="10" fillId="0" borderId="1" xfId="0" applyNumberFormat="1" applyFont="1" applyFill="1" applyBorder="1" applyAlignment="1">
      <alignment horizontal="center" vertical="center"/>
    </xf>
    <xf numFmtId="4" fontId="10" fillId="0" borderId="17" xfId="0" applyNumberFormat="1" applyFont="1" applyFill="1" applyBorder="1" applyAlignment="1">
      <alignment horizontal="center" vertical="center"/>
    </xf>
    <xf numFmtId="4" fontId="10" fillId="0" borderId="18" xfId="0" applyNumberFormat="1" applyFont="1" applyFill="1" applyBorder="1" applyAlignment="1">
      <alignment horizontal="center" vertical="center"/>
    </xf>
    <xf numFmtId="0" fontId="28" fillId="2" borderId="1" xfId="1" applyFont="1" applyFill="1" applyBorder="1" applyAlignment="1">
      <alignment horizontal="left" vertical="center" wrapText="1"/>
    </xf>
    <xf numFmtId="0" fontId="33" fillId="2" borderId="1" xfId="1" applyFont="1" applyFill="1" applyBorder="1" applyAlignment="1">
      <alignment vertical="center" wrapText="1"/>
    </xf>
    <xf numFmtId="0" fontId="45" fillId="2" borderId="0" xfId="0" applyFont="1" applyFill="1" applyAlignment="1"/>
    <xf numFmtId="49" fontId="24" fillId="2" borderId="1" xfId="1" applyNumberFormat="1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vertical="top" wrapText="1"/>
    </xf>
    <xf numFmtId="0" fontId="10" fillId="2" borderId="1" xfId="0" applyFont="1" applyFill="1" applyBorder="1" applyAlignment="1">
      <alignment vertical="top" wrapText="1"/>
    </xf>
    <xf numFmtId="4" fontId="10" fillId="2" borderId="1" xfId="0" applyNumberFormat="1" applyFont="1" applyFill="1" applyBorder="1" applyAlignment="1">
      <alignment horizontal="left" vertical="center"/>
    </xf>
    <xf numFmtId="4" fontId="10" fillId="0" borderId="0" xfId="0" applyNumberFormat="1" applyFont="1" applyFill="1" applyBorder="1" applyAlignment="1">
      <alignment horizontal="center" vertical="center"/>
    </xf>
    <xf numFmtId="4" fontId="0" fillId="2" borderId="0" xfId="0" applyNumberFormat="1" applyFill="1"/>
    <xf numFmtId="0" fontId="0" fillId="3" borderId="0" xfId="0" applyFont="1" applyFill="1"/>
    <xf numFmtId="0" fontId="0" fillId="3" borderId="0" xfId="0" applyFill="1"/>
    <xf numFmtId="0" fontId="40" fillId="0" borderId="0" xfId="0" applyFont="1"/>
    <xf numFmtId="0" fontId="8" fillId="2" borderId="0" xfId="0" applyFont="1" applyFill="1" applyAlignment="1">
      <alignment horizontal="center"/>
    </xf>
    <xf numFmtId="0" fontId="16" fillId="2" borderId="0" xfId="0" applyFont="1" applyFill="1" applyAlignment="1"/>
    <xf numFmtId="49" fontId="16" fillId="2" borderId="1" xfId="0" applyNumberFormat="1" applyFont="1" applyFill="1" applyBorder="1" applyAlignment="1">
      <alignment horizontal="center" vertical="center"/>
    </xf>
    <xf numFmtId="4" fontId="16" fillId="2" borderId="31" xfId="0" applyNumberFormat="1" applyFont="1" applyFill="1" applyBorder="1" applyAlignment="1">
      <alignment horizontal="center" vertical="center" wrapText="1"/>
    </xf>
    <xf numFmtId="4" fontId="16" fillId="2" borderId="32" xfId="0" applyNumberFormat="1" applyFont="1" applyFill="1" applyBorder="1" applyAlignment="1">
      <alignment horizontal="center" vertical="center" wrapText="1"/>
    </xf>
    <xf numFmtId="0" fontId="0" fillId="2" borderId="0" xfId="0" applyFont="1" applyFill="1" applyAlignment="1">
      <alignment vertical="center"/>
    </xf>
    <xf numFmtId="4" fontId="16" fillId="2" borderId="20" xfId="0" applyNumberFormat="1" applyFont="1" applyFill="1" applyBorder="1" applyAlignment="1">
      <alignment horizontal="center" vertical="center" wrapText="1"/>
    </xf>
    <xf numFmtId="0" fontId="16" fillId="2" borderId="0" xfId="0" applyFont="1" applyFill="1" applyAlignment="1">
      <alignment vertical="center"/>
    </xf>
    <xf numFmtId="0" fontId="5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 wrapText="1"/>
    </xf>
    <xf numFmtId="4" fontId="17" fillId="2" borderId="0" xfId="0" applyNumberFormat="1" applyFont="1" applyFill="1" applyBorder="1" applyAlignment="1">
      <alignment horizontal="center" vertical="center"/>
    </xf>
    <xf numFmtId="0" fontId="17" fillId="2" borderId="0" xfId="0" applyFont="1" applyFill="1" applyBorder="1"/>
    <xf numFmtId="0" fontId="51" fillId="2" borderId="0" xfId="0" applyFont="1" applyFill="1" applyBorder="1"/>
    <xf numFmtId="0" fontId="52" fillId="2" borderId="0" xfId="0" applyFont="1" applyFill="1" applyBorder="1" applyAlignment="1">
      <alignment horizontal="center" vertical="center"/>
    </xf>
    <xf numFmtId="2" fontId="11" fillId="2" borderId="0" xfId="1" applyNumberFormat="1" applyFont="1" applyFill="1" applyBorder="1" applyAlignment="1">
      <alignment horizontal="center" vertical="center" wrapText="1"/>
    </xf>
    <xf numFmtId="0" fontId="8" fillId="2" borderId="0" xfId="1" applyFont="1" applyFill="1" applyBorder="1" applyAlignment="1">
      <alignment vertical="center" wrapText="1"/>
    </xf>
    <xf numFmtId="0" fontId="11" fillId="2" borderId="0" xfId="0" applyFont="1" applyFill="1" applyBorder="1" applyAlignment="1">
      <alignment horizontal="center" vertical="center"/>
    </xf>
    <xf numFmtId="49" fontId="11" fillId="2" borderId="0" xfId="0" applyNumberFormat="1" applyFont="1" applyFill="1" applyBorder="1" applyAlignment="1">
      <alignment vertical="center" wrapText="1"/>
    </xf>
    <xf numFmtId="49" fontId="8" fillId="2" borderId="0" xfId="0" applyNumberFormat="1" applyFont="1" applyFill="1" applyBorder="1" applyAlignment="1">
      <alignment vertical="center" wrapText="1"/>
    </xf>
    <xf numFmtId="0" fontId="11" fillId="2" borderId="0" xfId="1" applyFont="1" applyFill="1" applyBorder="1" applyAlignment="1">
      <alignment vertical="center" wrapText="1"/>
    </xf>
    <xf numFmtId="0" fontId="24" fillId="2" borderId="0" xfId="1" applyFont="1" applyFill="1" applyBorder="1" applyAlignment="1">
      <alignment vertical="center" wrapText="1"/>
    </xf>
    <xf numFmtId="4" fontId="11" fillId="2" borderId="0" xfId="0" applyNumberFormat="1" applyFont="1" applyFill="1" applyBorder="1" applyAlignment="1">
      <alignment horizontal="left" vertical="center"/>
    </xf>
    <xf numFmtId="0" fontId="25" fillId="2" borderId="0" xfId="1" applyFont="1" applyFill="1" applyBorder="1" applyAlignment="1">
      <alignment vertical="center" wrapText="1"/>
    </xf>
    <xf numFmtId="0" fontId="11" fillId="2" borderId="0" xfId="1" applyFont="1" applyFill="1" applyBorder="1" applyAlignment="1">
      <alignment vertical="center"/>
    </xf>
    <xf numFmtId="0" fontId="11" fillId="2" borderId="1" xfId="1" applyFont="1" applyFill="1" applyBorder="1" applyAlignment="1">
      <alignment vertical="center"/>
    </xf>
    <xf numFmtId="49" fontId="10" fillId="2" borderId="18" xfId="1" applyNumberFormat="1" applyFont="1" applyFill="1" applyBorder="1" applyAlignment="1">
      <alignment horizontal="center" vertical="center" wrapText="1"/>
    </xf>
    <xf numFmtId="0" fontId="10" fillId="2" borderId="18" xfId="1" applyFont="1" applyFill="1" applyBorder="1" applyAlignment="1">
      <alignment horizontal="left" vertical="center" wrapText="1"/>
    </xf>
    <xf numFmtId="0" fontId="11" fillId="2" borderId="0" xfId="1" applyFont="1" applyFill="1" applyBorder="1" applyAlignment="1">
      <alignment horizontal="left" vertical="center" wrapText="1"/>
    </xf>
    <xf numFmtId="49" fontId="10" fillId="2" borderId="17" xfId="1" applyNumberFormat="1" applyFont="1" applyFill="1" applyBorder="1" applyAlignment="1">
      <alignment horizontal="center" vertical="center" wrapText="1"/>
    </xf>
    <xf numFmtId="0" fontId="10" fillId="2" borderId="17" xfId="1" applyFont="1" applyFill="1" applyBorder="1" applyAlignment="1">
      <alignment horizontal="left" vertical="center" wrapText="1"/>
    </xf>
    <xf numFmtId="0" fontId="10" fillId="2" borderId="16" xfId="1" applyFont="1" applyFill="1" applyBorder="1" applyAlignment="1">
      <alignment horizontal="left" vertical="center" wrapText="1"/>
    </xf>
    <xf numFmtId="0" fontId="25" fillId="2" borderId="0" xfId="0" applyFont="1" applyFill="1" applyBorder="1" applyAlignment="1">
      <alignment vertical="center"/>
    </xf>
    <xf numFmtId="0" fontId="25" fillId="2" borderId="0" xfId="0" applyFont="1" applyFill="1" applyBorder="1" applyAlignment="1">
      <alignment vertical="center" wrapText="1"/>
    </xf>
    <xf numFmtId="49" fontId="26" fillId="2" borderId="18" xfId="0" applyNumberFormat="1" applyFont="1" applyFill="1" applyBorder="1" applyAlignment="1">
      <alignment horizontal="center" vertical="center"/>
    </xf>
    <xf numFmtId="0" fontId="10" fillId="2" borderId="18" xfId="0" applyFont="1" applyFill="1" applyBorder="1" applyAlignment="1">
      <alignment horizontal="left" vertical="center" wrapText="1"/>
    </xf>
    <xf numFmtId="0" fontId="10" fillId="2" borderId="18" xfId="0" applyFont="1" applyFill="1" applyBorder="1" applyAlignment="1">
      <alignment horizontal="left" vertical="center"/>
    </xf>
    <xf numFmtId="0" fontId="26" fillId="2" borderId="18" xfId="1" applyFont="1" applyFill="1" applyBorder="1" applyAlignment="1">
      <alignment horizontal="center" vertical="center"/>
    </xf>
    <xf numFmtId="0" fontId="10" fillId="2" borderId="18" xfId="1" applyFont="1" applyFill="1" applyBorder="1" applyAlignment="1">
      <alignment horizontal="center" vertical="center"/>
    </xf>
    <xf numFmtId="0" fontId="25" fillId="2" borderId="0" xfId="1" applyFont="1" applyFill="1" applyBorder="1" applyAlignment="1">
      <alignment vertical="center"/>
    </xf>
    <xf numFmtId="0" fontId="8" fillId="2" borderId="0" xfId="1" applyFont="1" applyFill="1" applyBorder="1" applyAlignment="1">
      <alignment vertical="center"/>
    </xf>
    <xf numFmtId="0" fontId="0" fillId="2" borderId="0" xfId="0" applyFont="1" applyFill="1" applyBorder="1" applyAlignment="1"/>
    <xf numFmtId="0" fontId="0" fillId="0" borderId="0" xfId="0" applyBorder="1"/>
    <xf numFmtId="1" fontId="11" fillId="2" borderId="0" xfId="1" applyNumberFormat="1" applyFont="1" applyFill="1" applyBorder="1" applyAlignment="1">
      <alignment horizontal="center" vertical="center" wrapText="1"/>
    </xf>
    <xf numFmtId="49" fontId="11" fillId="2" borderId="18" xfId="1" applyNumberFormat="1" applyFont="1" applyFill="1" applyBorder="1" applyAlignment="1">
      <alignment horizontal="center" vertical="center" wrapText="1"/>
    </xf>
    <xf numFmtId="0" fontId="25" fillId="2" borderId="18" xfId="1" applyFont="1" applyFill="1" applyBorder="1" applyAlignment="1">
      <alignment horizontal="left" vertical="center" wrapText="1"/>
    </xf>
    <xf numFmtId="0" fontId="25" fillId="2" borderId="0" xfId="1" applyFont="1" applyFill="1" applyBorder="1" applyAlignment="1">
      <alignment vertical="top" wrapText="1"/>
    </xf>
    <xf numFmtId="0" fontId="10" fillId="2" borderId="0" xfId="1" applyFont="1" applyFill="1" applyBorder="1" applyAlignment="1">
      <alignment vertical="center" wrapText="1"/>
    </xf>
    <xf numFmtId="0" fontId="7" fillId="2" borderId="0" xfId="1" applyFont="1" applyFill="1" applyBorder="1" applyAlignment="1">
      <alignment vertical="center" wrapText="1"/>
    </xf>
    <xf numFmtId="49" fontId="11" fillId="2" borderId="36" xfId="1" applyNumberFormat="1" applyFont="1" applyFill="1" applyBorder="1" applyAlignment="1">
      <alignment horizontal="center" vertical="center" wrapText="1"/>
    </xf>
    <xf numFmtId="49" fontId="11" fillId="2" borderId="29" xfId="1" applyNumberFormat="1" applyFont="1" applyFill="1" applyBorder="1" applyAlignment="1">
      <alignment horizontal="center" vertical="center" wrapText="1"/>
    </xf>
    <xf numFmtId="0" fontId="24" fillId="2" borderId="39" xfId="0" applyFont="1" applyFill="1" applyBorder="1" applyAlignment="1">
      <alignment horizontal="center" vertical="center" wrapText="1"/>
    </xf>
    <xf numFmtId="0" fontId="24" fillId="2" borderId="40" xfId="0" applyFont="1" applyFill="1" applyBorder="1" applyAlignment="1">
      <alignment horizontal="center" vertical="center" wrapText="1"/>
    </xf>
    <xf numFmtId="0" fontId="10" fillId="2" borderId="17" xfId="0" applyFont="1" applyFill="1" applyBorder="1" applyAlignment="1">
      <alignment horizontal="left" vertical="center" wrapText="1"/>
    </xf>
    <xf numFmtId="49" fontId="11" fillId="2" borderId="41" xfId="1" applyNumberFormat="1" applyFont="1" applyFill="1" applyBorder="1" applyAlignment="1">
      <alignment horizontal="center" vertical="center" wrapText="1"/>
    </xf>
    <xf numFmtId="0" fontId="11" fillId="2" borderId="42" xfId="1" applyFont="1" applyFill="1" applyBorder="1" applyAlignment="1">
      <alignment horizontal="center" vertical="center" wrapText="1"/>
    </xf>
    <xf numFmtId="49" fontId="11" fillId="2" borderId="43" xfId="1" applyNumberFormat="1" applyFont="1" applyFill="1" applyBorder="1" applyAlignment="1">
      <alignment horizontal="center" vertical="center" wrapText="1"/>
    </xf>
    <xf numFmtId="1" fontId="11" fillId="2" borderId="20" xfId="1" applyNumberFormat="1" applyFont="1" applyFill="1" applyBorder="1" applyAlignment="1">
      <alignment horizontal="center" vertical="center" wrapText="1"/>
    </xf>
    <xf numFmtId="49" fontId="11" fillId="2" borderId="44" xfId="1" applyNumberFormat="1" applyFont="1" applyFill="1" applyBorder="1" applyAlignment="1">
      <alignment horizontal="center" vertical="center" wrapText="1"/>
    </xf>
    <xf numFmtId="49" fontId="26" fillId="2" borderId="1" xfId="1" applyNumberFormat="1" applyFont="1" applyFill="1" applyBorder="1" applyAlignment="1">
      <alignment horizontal="center" vertical="center"/>
    </xf>
    <xf numFmtId="49" fontId="35" fillId="2" borderId="1" xfId="1" applyNumberFormat="1" applyFont="1" applyFill="1" applyBorder="1" applyAlignment="1">
      <alignment horizontal="center" vertical="center"/>
    </xf>
    <xf numFmtId="49" fontId="38" fillId="2" borderId="1" xfId="1" applyNumberFormat="1" applyFont="1" applyFill="1" applyBorder="1" applyAlignment="1">
      <alignment horizontal="center" vertical="center" wrapText="1"/>
    </xf>
    <xf numFmtId="49" fontId="39" fillId="2" borderId="1" xfId="1" applyNumberFormat="1" applyFont="1" applyFill="1" applyBorder="1" applyAlignment="1">
      <alignment horizontal="center" vertical="center" wrapText="1"/>
    </xf>
    <xf numFmtId="14" fontId="39" fillId="2" borderId="1" xfId="1" applyNumberFormat="1" applyFont="1" applyFill="1" applyBorder="1" applyAlignment="1">
      <alignment horizontal="center" vertical="center" wrapText="1"/>
    </xf>
    <xf numFmtId="4" fontId="10" fillId="2" borderId="1" xfId="4" applyNumberFormat="1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49" fontId="11" fillId="2" borderId="0" xfId="1" applyNumberFormat="1" applyFont="1" applyFill="1" applyBorder="1" applyAlignment="1">
      <alignment horizontal="center" vertical="center" wrapText="1"/>
    </xf>
    <xf numFmtId="0" fontId="0" fillId="2" borderId="0" xfId="0" applyFont="1" applyFill="1" applyBorder="1"/>
    <xf numFmtId="0" fontId="8" fillId="2" borderId="0" xfId="1" applyFont="1" applyFill="1" applyBorder="1" applyAlignment="1">
      <alignment horizontal="center" vertical="center"/>
    </xf>
    <xf numFmtId="0" fontId="11" fillId="2" borderId="0" xfId="1" applyNumberFormat="1" applyFont="1" applyFill="1" applyBorder="1" applyAlignment="1" applyProtection="1">
      <alignment horizontal="center" vertical="center"/>
    </xf>
    <xf numFmtId="0" fontId="10" fillId="2" borderId="0" xfId="1" applyNumberFormat="1" applyFont="1" applyFill="1" applyBorder="1" applyAlignment="1" applyProtection="1">
      <alignment horizontal="left" vertical="center" wrapText="1"/>
    </xf>
    <xf numFmtId="0" fontId="26" fillId="2" borderId="0" xfId="1" applyNumberFormat="1" applyFont="1" applyFill="1" applyBorder="1" applyAlignment="1" applyProtection="1">
      <alignment horizontal="center" vertical="center" wrapText="1"/>
    </xf>
    <xf numFmtId="0" fontId="25" fillId="2" borderId="0" xfId="1" applyFont="1" applyFill="1" applyBorder="1" applyAlignment="1">
      <alignment horizontal="left" wrapText="1"/>
    </xf>
    <xf numFmtId="4" fontId="10" fillId="2" borderId="0" xfId="1" applyNumberFormat="1" applyFont="1" applyFill="1" applyBorder="1" applyAlignment="1" applyProtection="1">
      <alignment horizontal="center" vertical="center"/>
    </xf>
    <xf numFmtId="0" fontId="11" fillId="2" borderId="24" xfId="0" applyFont="1" applyFill="1" applyBorder="1" applyAlignment="1">
      <alignment horizontal="center" vertical="center" wrapText="1"/>
    </xf>
    <xf numFmtId="4" fontId="10" fillId="2" borderId="24" xfId="0" applyNumberFormat="1" applyFont="1" applyFill="1" applyBorder="1" applyAlignment="1">
      <alignment horizontal="center" vertical="center" wrapText="1"/>
    </xf>
    <xf numFmtId="4" fontId="10" fillId="2" borderId="24" xfId="1" applyNumberFormat="1" applyFont="1" applyFill="1" applyBorder="1" applyAlignment="1">
      <alignment horizontal="center" vertical="center" wrapText="1"/>
    </xf>
    <xf numFmtId="4" fontId="10" fillId="2" borderId="24" xfId="0" applyNumberFormat="1" applyFont="1" applyFill="1" applyBorder="1" applyAlignment="1">
      <alignment horizontal="center" vertical="center"/>
    </xf>
    <xf numFmtId="4" fontId="10" fillId="2" borderId="45" xfId="1" applyNumberFormat="1" applyFont="1" applyFill="1" applyBorder="1" applyAlignment="1">
      <alignment horizontal="center" vertical="center" wrapText="1"/>
    </xf>
    <xf numFmtId="4" fontId="10" fillId="2" borderId="46" xfId="1" applyNumberFormat="1" applyFont="1" applyFill="1" applyBorder="1" applyAlignment="1">
      <alignment horizontal="center" vertical="center" wrapText="1"/>
    </xf>
    <xf numFmtId="4" fontId="10" fillId="2" borderId="47" xfId="1" applyNumberFormat="1" applyFont="1" applyFill="1" applyBorder="1" applyAlignment="1">
      <alignment horizontal="center" vertical="center" wrapText="1"/>
    </xf>
    <xf numFmtId="4" fontId="10" fillId="2" borderId="38" xfId="1" applyNumberFormat="1" applyFont="1" applyFill="1" applyBorder="1" applyAlignment="1">
      <alignment horizontal="center" vertical="center" wrapText="1"/>
    </xf>
    <xf numFmtId="4" fontId="10" fillId="2" borderId="45" xfId="0" applyNumberFormat="1" applyFont="1" applyFill="1" applyBorder="1" applyAlignment="1">
      <alignment horizontal="center" vertical="center"/>
    </xf>
    <xf numFmtId="0" fontId="24" fillId="2" borderId="48" xfId="0" applyFont="1" applyFill="1" applyBorder="1" applyAlignment="1">
      <alignment horizontal="center" vertical="center" wrapText="1"/>
    </xf>
    <xf numFmtId="4" fontId="10" fillId="2" borderId="46" xfId="0" applyNumberFormat="1" applyFont="1" applyFill="1" applyBorder="1" applyAlignment="1">
      <alignment horizontal="center" vertical="center" wrapText="1"/>
    </xf>
    <xf numFmtId="0" fontId="11" fillId="2" borderId="49" xfId="0" applyFont="1" applyFill="1" applyBorder="1" applyAlignment="1">
      <alignment horizontal="center" vertical="center" wrapText="1"/>
    </xf>
    <xf numFmtId="1" fontId="11" fillId="2" borderId="50" xfId="1" applyNumberFormat="1" applyFont="1" applyFill="1" applyBorder="1" applyAlignment="1">
      <alignment horizontal="center" vertical="center" wrapText="1"/>
    </xf>
    <xf numFmtId="0" fontId="12" fillId="2" borderId="0" xfId="0" applyFont="1" applyFill="1" applyBorder="1"/>
    <xf numFmtId="4" fontId="10" fillId="2" borderId="0" xfId="1" applyNumberFormat="1" applyFont="1" applyFill="1" applyBorder="1" applyAlignment="1">
      <alignment horizontal="center" vertical="center" wrapText="1"/>
    </xf>
    <xf numFmtId="164" fontId="18" fillId="2" borderId="0" xfId="0" applyNumberFormat="1" applyFont="1" applyFill="1" applyBorder="1"/>
    <xf numFmtId="2" fontId="3" fillId="2" borderId="0" xfId="1" applyNumberFormat="1" applyFont="1" applyFill="1" applyBorder="1" applyAlignment="1">
      <alignment horizontal="center" vertical="center" wrapText="1"/>
    </xf>
    <xf numFmtId="1" fontId="24" fillId="2" borderId="0" xfId="1" applyNumberFormat="1" applyFont="1" applyFill="1" applyBorder="1" applyAlignment="1">
      <alignment horizontal="center" vertical="center"/>
    </xf>
    <xf numFmtId="0" fontId="34" fillId="2" borderId="0" xfId="0" applyFont="1" applyFill="1" applyBorder="1"/>
    <xf numFmtId="0" fontId="34" fillId="2" borderId="0" xfId="0" applyFont="1" applyFill="1" applyBorder="1" applyAlignment="1">
      <alignment horizontal="center"/>
    </xf>
    <xf numFmtId="4" fontId="11" fillId="2" borderId="0" xfId="1" applyNumberFormat="1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/>
    </xf>
    <xf numFmtId="0" fontId="24" fillId="2" borderId="0" xfId="0" applyFont="1" applyFill="1" applyBorder="1" applyAlignment="1">
      <alignment horizontal="center" vertical="center" wrapText="1"/>
    </xf>
    <xf numFmtId="49" fontId="0" fillId="2" borderId="0" xfId="0" applyNumberFormat="1" applyFont="1" applyFill="1" applyBorder="1" applyAlignment="1">
      <alignment horizontal="left" vertical="center"/>
    </xf>
    <xf numFmtId="0" fontId="0" fillId="2" borderId="0" xfId="0" applyFont="1" applyFill="1" applyBorder="1" applyAlignment="1">
      <alignment vertical="center"/>
    </xf>
    <xf numFmtId="0" fontId="16" fillId="2" borderId="0" xfId="0" applyFont="1" applyFill="1" applyBorder="1" applyAlignment="1"/>
    <xf numFmtId="0" fontId="16" fillId="2" borderId="0" xfId="0" applyFont="1" applyFill="1" applyBorder="1" applyAlignment="1">
      <alignment vertical="center"/>
    </xf>
    <xf numFmtId="0" fontId="29" fillId="2" borderId="0" xfId="1" applyFont="1" applyFill="1" applyBorder="1" applyAlignment="1">
      <alignment horizontal="center" vertical="center" wrapText="1"/>
    </xf>
    <xf numFmtId="4" fontId="11" fillId="2" borderId="0" xfId="1" applyNumberFormat="1" applyFont="1" applyFill="1" applyBorder="1" applyAlignment="1">
      <alignment horizontal="center" vertical="center" wrapText="1"/>
    </xf>
    <xf numFmtId="0" fontId="10" fillId="2" borderId="1" xfId="5" applyFont="1" applyFill="1" applyBorder="1" applyAlignment="1">
      <alignment horizontal="left" vertical="center" wrapText="1"/>
    </xf>
    <xf numFmtId="49" fontId="10" fillId="2" borderId="0" xfId="0" applyNumberFormat="1" applyFont="1" applyFill="1" applyBorder="1" applyAlignment="1">
      <alignment horizontal="center" vertical="center" wrapText="1"/>
    </xf>
    <xf numFmtId="0" fontId="10" fillId="2" borderId="0" xfId="1" applyFont="1" applyFill="1" applyBorder="1" applyAlignment="1">
      <alignment horizontal="center" vertical="center"/>
    </xf>
    <xf numFmtId="4" fontId="11" fillId="2" borderId="1" xfId="1" applyNumberFormat="1" applyFont="1" applyFill="1" applyBorder="1" applyAlignment="1">
      <alignment horizontal="center" vertical="center"/>
    </xf>
    <xf numFmtId="49" fontId="10" fillId="2" borderId="0" xfId="0" applyNumberFormat="1" applyFont="1" applyFill="1" applyBorder="1" applyAlignment="1">
      <alignment horizontal="left" vertical="center" wrapText="1"/>
    </xf>
    <xf numFmtId="0" fontId="10" fillId="2" borderId="0" xfId="0" applyFont="1" applyFill="1" applyBorder="1" applyAlignment="1">
      <alignment horizontal="center" vertical="center"/>
    </xf>
    <xf numFmtId="2" fontId="11" fillId="2" borderId="1" xfId="1" applyNumberFormat="1" applyFont="1" applyFill="1" applyBorder="1" applyAlignment="1">
      <alignment horizontal="center" vertical="center"/>
    </xf>
    <xf numFmtId="0" fontId="25" fillId="2" borderId="18" xfId="1" applyFont="1" applyFill="1" applyBorder="1" applyAlignment="1">
      <alignment horizontal="left" vertical="top" wrapText="1"/>
    </xf>
    <xf numFmtId="49" fontId="35" fillId="2" borderId="18" xfId="1" applyNumberFormat="1" applyFont="1" applyFill="1" applyBorder="1" applyAlignment="1">
      <alignment horizontal="center" vertical="center"/>
    </xf>
    <xf numFmtId="4" fontId="53" fillId="2" borderId="1" xfId="0" applyNumberFormat="1" applyFont="1" applyFill="1" applyBorder="1" applyAlignment="1">
      <alignment horizontal="center" vertical="center"/>
    </xf>
    <xf numFmtId="4" fontId="11" fillId="2" borderId="1" xfId="0" applyNumberFormat="1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center" wrapText="1"/>
    </xf>
    <xf numFmtId="4" fontId="10" fillId="2" borderId="1" xfId="0" applyNumberFormat="1" applyFont="1" applyFill="1" applyBorder="1" applyAlignment="1">
      <alignment horizontal="center" vertical="center"/>
    </xf>
    <xf numFmtId="4" fontId="10" fillId="2" borderId="0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4" fontId="0" fillId="2" borderId="0" xfId="0" applyNumberFormat="1" applyFont="1" applyFill="1" applyBorder="1"/>
    <xf numFmtId="4" fontId="0" fillId="2" borderId="0" xfId="0" applyNumberFormat="1" applyFont="1" applyFill="1"/>
    <xf numFmtId="4" fontId="0" fillId="2" borderId="0" xfId="0" applyNumberFormat="1" applyFont="1" applyFill="1" applyBorder="1" applyAlignment="1">
      <alignment vertical="center"/>
    </xf>
    <xf numFmtId="0" fontId="0" fillId="2" borderId="0" xfId="0" applyFont="1" applyFill="1" applyAlignment="1">
      <alignment horizontal="center" vertical="center"/>
    </xf>
    <xf numFmtId="164" fontId="0" fillId="2" borderId="0" xfId="0" applyNumberFormat="1" applyFont="1" applyFill="1" applyBorder="1"/>
    <xf numFmtId="0" fontId="21" fillId="2" borderId="0" xfId="0" applyFont="1" applyFill="1" applyAlignment="1">
      <alignment horizontal="center" vertical="center"/>
    </xf>
    <xf numFmtId="0" fontId="0" fillId="2" borderId="0" xfId="0" applyFont="1" applyFill="1" applyAlignment="1">
      <alignment horizontal="left" vertical="center" wrapText="1"/>
    </xf>
    <xf numFmtId="0" fontId="0" fillId="2" borderId="0" xfId="0" applyFont="1" applyFill="1" applyBorder="1" applyAlignment="1">
      <alignment horizontal="left" vertical="center"/>
    </xf>
    <xf numFmtId="4" fontId="0" fillId="2" borderId="0" xfId="0" applyNumberFormat="1" applyFont="1" applyFill="1" applyAlignment="1">
      <alignment horizontal="center" vertical="center"/>
    </xf>
    <xf numFmtId="4" fontId="10" fillId="2" borderId="1" xfId="0" applyNumberFormat="1" applyFont="1" applyFill="1" applyBorder="1" applyAlignment="1">
      <alignment horizontal="center" vertical="center"/>
    </xf>
    <xf numFmtId="4" fontId="10" fillId="2" borderId="0" xfId="0" applyNumberFormat="1" applyFont="1" applyFill="1" applyBorder="1" applyAlignment="1">
      <alignment horizontal="center" vertical="center"/>
    </xf>
    <xf numFmtId="0" fontId="10" fillId="2" borderId="18" xfId="1" applyFont="1" applyFill="1" applyBorder="1" applyAlignment="1">
      <alignment horizontal="center" vertical="center" wrapText="1"/>
    </xf>
    <xf numFmtId="0" fontId="0" fillId="2" borderId="2" xfId="0" applyFont="1" applyFill="1" applyBorder="1"/>
    <xf numFmtId="0" fontId="0" fillId="2" borderId="3" xfId="0" applyFont="1" applyFill="1" applyBorder="1"/>
    <xf numFmtId="0" fontId="0" fillId="2" borderId="3" xfId="0" applyFont="1" applyFill="1" applyBorder="1" applyAlignment="1">
      <alignment vertical="center"/>
    </xf>
    <xf numFmtId="4" fontId="0" fillId="2" borderId="0" xfId="0" applyNumberFormat="1" applyFont="1" applyFill="1" applyAlignment="1">
      <alignment vertical="center"/>
    </xf>
    <xf numFmtId="4" fontId="0" fillId="2" borderId="4" xfId="0" applyNumberFormat="1" applyFont="1" applyFill="1" applyBorder="1"/>
    <xf numFmtId="0" fontId="0" fillId="2" borderId="4" xfId="0" applyFont="1" applyFill="1" applyBorder="1"/>
    <xf numFmtId="0" fontId="0" fillId="2" borderId="5" xfId="0" applyFont="1" applyFill="1" applyBorder="1"/>
    <xf numFmtId="4" fontId="0" fillId="2" borderId="6" xfId="0" applyNumberFormat="1" applyFont="1" applyFill="1" applyBorder="1"/>
    <xf numFmtId="0" fontId="0" fillId="2" borderId="6" xfId="0" applyFont="1" applyFill="1" applyBorder="1"/>
    <xf numFmtId="0" fontId="0" fillId="2" borderId="3" xfId="0" applyFont="1" applyFill="1" applyBorder="1" applyAlignment="1">
      <alignment horizontal="center" vertical="center"/>
    </xf>
    <xf numFmtId="164" fontId="0" fillId="2" borderId="0" xfId="0" applyNumberFormat="1" applyFont="1" applyFill="1"/>
    <xf numFmtId="164" fontId="0" fillId="2" borderId="4" xfId="0" applyNumberFormat="1" applyFont="1" applyFill="1" applyBorder="1"/>
    <xf numFmtId="0" fontId="0" fillId="2" borderId="7" xfId="0" applyFont="1" applyFill="1" applyBorder="1"/>
    <xf numFmtId="4" fontId="0" fillId="2" borderId="10" xfId="0" applyNumberFormat="1" applyFont="1" applyFill="1" applyBorder="1"/>
    <xf numFmtId="164" fontId="0" fillId="2" borderId="10" xfId="0" applyNumberFormat="1" applyFont="1" applyFill="1" applyBorder="1"/>
    <xf numFmtId="0" fontId="54" fillId="2" borderId="0" xfId="0" applyFont="1" applyFill="1"/>
    <xf numFmtId="4" fontId="54" fillId="2" borderId="0" xfId="0" applyNumberFormat="1" applyFont="1" applyFill="1"/>
    <xf numFmtId="164" fontId="54" fillId="2" borderId="0" xfId="0" applyNumberFormat="1" applyFont="1" applyFill="1"/>
    <xf numFmtId="164" fontId="0" fillId="2" borderId="6" xfId="0" applyNumberFormat="1" applyFont="1" applyFill="1" applyBorder="1"/>
    <xf numFmtId="0" fontId="19" fillId="2" borderId="7" xfId="0" applyFont="1" applyFill="1" applyBorder="1"/>
    <xf numFmtId="0" fontId="21" fillId="2" borderId="7" xfId="0" applyFont="1" applyFill="1" applyBorder="1" applyAlignment="1">
      <alignment horizontal="center" vertical="center"/>
    </xf>
    <xf numFmtId="0" fontId="19" fillId="2" borderId="11" xfId="0" applyFont="1" applyFill="1" applyBorder="1"/>
    <xf numFmtId="0" fontId="19" fillId="2" borderId="2" xfId="0" applyFont="1" applyFill="1" applyBorder="1"/>
    <xf numFmtId="4" fontId="19" fillId="2" borderId="0" xfId="0" applyNumberFormat="1" applyFont="1" applyFill="1"/>
    <xf numFmtId="0" fontId="19" fillId="2" borderId="5" xfId="0" applyFont="1" applyFill="1" applyBorder="1"/>
    <xf numFmtId="0" fontId="19" fillId="2" borderId="19" xfId="0" applyFont="1" applyFill="1" applyBorder="1"/>
    <xf numFmtId="0" fontId="11" fillId="2" borderId="0" xfId="0" applyFont="1" applyFill="1" applyAlignment="1">
      <alignment horizontal="center" vertical="center"/>
    </xf>
    <xf numFmtId="0" fontId="0" fillId="2" borderId="0" xfId="0" applyFont="1" applyFill="1" applyAlignment="1">
      <alignment horizontal="left" vertical="center"/>
    </xf>
    <xf numFmtId="0" fontId="11" fillId="2" borderId="7" xfId="0" applyFont="1" applyFill="1" applyBorder="1" applyAlignment="1">
      <alignment horizontal="center" vertical="center" wrapText="1"/>
    </xf>
    <xf numFmtId="0" fontId="0" fillId="4" borderId="0" xfId="0" applyFont="1" applyFill="1"/>
    <xf numFmtId="0" fontId="0" fillId="4" borderId="0" xfId="0" applyFont="1" applyFill="1" applyAlignment="1"/>
    <xf numFmtId="0" fontId="0" fillId="5" borderId="0" xfId="0" applyFont="1" applyFill="1"/>
    <xf numFmtId="0" fontId="0" fillId="5" borderId="0" xfId="0" applyFont="1" applyFill="1" applyAlignment="1"/>
    <xf numFmtId="4" fontId="10" fillId="5" borderId="1" xfId="0" applyNumberFormat="1" applyFont="1" applyFill="1" applyBorder="1" applyAlignment="1">
      <alignment horizontal="center" vertical="center"/>
    </xf>
    <xf numFmtId="4" fontId="0" fillId="5" borderId="0" xfId="0" applyNumberFormat="1" applyFont="1" applyFill="1"/>
    <xf numFmtId="4" fontId="0" fillId="5" borderId="0" xfId="0" applyNumberFormat="1" applyFont="1" applyFill="1" applyAlignment="1">
      <alignment horizontal="center" vertical="center"/>
    </xf>
    <xf numFmtId="4" fontId="10" fillId="5" borderId="17" xfId="0" applyNumberFormat="1" applyFont="1" applyFill="1" applyBorder="1" applyAlignment="1">
      <alignment horizontal="center" vertical="center"/>
    </xf>
    <xf numFmtId="4" fontId="10" fillId="5" borderId="18" xfId="0" applyNumberFormat="1" applyFont="1" applyFill="1" applyBorder="1" applyAlignment="1">
      <alignment horizontal="center" vertical="center"/>
    </xf>
    <xf numFmtId="4" fontId="10" fillId="5" borderId="1" xfId="0" applyNumberFormat="1" applyFont="1" applyFill="1" applyBorder="1" applyAlignment="1">
      <alignment horizontal="left" vertical="center"/>
    </xf>
    <xf numFmtId="4" fontId="10" fillId="5" borderId="0" xfId="0" applyNumberFormat="1" applyFont="1" applyFill="1" applyBorder="1" applyAlignment="1">
      <alignment horizontal="center" vertical="center"/>
    </xf>
    <xf numFmtId="0" fontId="40" fillId="5" borderId="0" xfId="0" applyFont="1" applyFill="1"/>
    <xf numFmtId="0" fontId="11" fillId="2" borderId="0" xfId="0" applyFont="1" applyFill="1" applyBorder="1" applyAlignment="1">
      <alignment horizontal="center" vertical="center" wrapText="1"/>
    </xf>
    <xf numFmtId="0" fontId="43" fillId="2" borderId="7" xfId="0" applyFont="1" applyFill="1" applyBorder="1" applyAlignment="1">
      <alignment horizontal="center"/>
    </xf>
    <xf numFmtId="4" fontId="10" fillId="2" borderId="1" xfId="0" applyNumberFormat="1" applyFont="1" applyFill="1" applyBorder="1" applyAlignment="1">
      <alignment horizontal="center" vertical="center"/>
    </xf>
    <xf numFmtId="4" fontId="10" fillId="2" borderId="0" xfId="0" applyNumberFormat="1" applyFont="1" applyFill="1" applyBorder="1" applyAlignment="1">
      <alignment horizontal="center" vertical="center"/>
    </xf>
    <xf numFmtId="4" fontId="10" fillId="2" borderId="1" xfId="0" applyNumberFormat="1" applyFont="1" applyFill="1" applyBorder="1" applyAlignment="1">
      <alignment horizontal="center" vertical="center"/>
    </xf>
    <xf numFmtId="4" fontId="0" fillId="2" borderId="0" xfId="0" applyNumberFormat="1" applyFill="1" applyAlignment="1">
      <alignment horizontal="center" vertical="center"/>
    </xf>
    <xf numFmtId="4" fontId="10" fillId="2" borderId="0" xfId="0" applyNumberFormat="1" applyFont="1" applyFill="1" applyBorder="1" applyAlignment="1">
      <alignment horizontal="center" vertical="center"/>
    </xf>
    <xf numFmtId="4" fontId="10" fillId="2" borderId="1" xfId="0" applyNumberFormat="1" applyFont="1" applyFill="1" applyBorder="1" applyAlignment="1">
      <alignment horizontal="center" vertical="center"/>
    </xf>
    <xf numFmtId="165" fontId="0" fillId="2" borderId="0" xfId="0" applyNumberFormat="1" applyFill="1"/>
    <xf numFmtId="0" fontId="0" fillId="2" borderId="0" xfId="0" applyFont="1" applyFill="1" applyAlignment="1">
      <alignment horizontal="left" vertical="center" wrapText="1"/>
    </xf>
    <xf numFmtId="4" fontId="10" fillId="2" borderId="0" xfId="0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" fillId="2" borderId="0" xfId="2" applyNumberFormat="1" applyFont="1" applyFill="1" applyBorder="1" applyAlignment="1" applyProtection="1">
      <alignment horizontal="right"/>
    </xf>
    <xf numFmtId="0" fontId="7" fillId="2" borderId="0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/>
    </xf>
    <xf numFmtId="0" fontId="0" fillId="2" borderId="0" xfId="0" applyFont="1" applyFill="1" applyAlignment="1">
      <alignment horizontal="center"/>
    </xf>
    <xf numFmtId="0" fontId="11" fillId="2" borderId="1" xfId="1" applyFont="1" applyFill="1" applyBorder="1" applyAlignment="1">
      <alignment horizontal="center" vertical="top" wrapText="1"/>
    </xf>
    <xf numFmtId="0" fontId="10" fillId="2" borderId="1" xfId="1" applyFont="1" applyFill="1" applyBorder="1" applyAlignment="1">
      <alignment horizontal="justify" vertical="top" wrapText="1"/>
    </xf>
    <xf numFmtId="0" fontId="10" fillId="2" borderId="1" xfId="1" applyFont="1" applyFill="1" applyBorder="1" applyAlignment="1">
      <alignment horizontal="left" vertical="top" wrapText="1"/>
    </xf>
    <xf numFmtId="0" fontId="10" fillId="2" borderId="1" xfId="1" applyFont="1" applyFill="1" applyBorder="1" applyAlignment="1">
      <alignment vertical="top" wrapText="1"/>
    </xf>
    <xf numFmtId="0" fontId="10" fillId="2" borderId="1" xfId="1" applyFont="1" applyFill="1" applyBorder="1" applyAlignment="1">
      <alignment horizontal="center" vertical="center" wrapText="1"/>
    </xf>
    <xf numFmtId="0" fontId="11" fillId="2" borderId="1" xfId="1" applyFont="1" applyFill="1" applyBorder="1" applyAlignment="1">
      <alignment horizontal="center" vertical="center" wrapText="1"/>
    </xf>
    <xf numFmtId="0" fontId="10" fillId="2" borderId="1" xfId="1" applyFont="1" applyFill="1" applyBorder="1" applyAlignment="1">
      <alignment horizontal="left" vertical="center" wrapText="1"/>
    </xf>
    <xf numFmtId="0" fontId="24" fillId="2" borderId="0" xfId="0" applyFont="1" applyFill="1" applyBorder="1" applyAlignment="1">
      <alignment horizontal="left" vertical="center" wrapText="1"/>
    </xf>
    <xf numFmtId="1" fontId="24" fillId="2" borderId="1" xfId="1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1" fillId="2" borderId="0" xfId="0" applyNumberFormat="1" applyFont="1" applyFill="1" applyBorder="1" applyAlignment="1" applyProtection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49" fontId="24" fillId="2" borderId="1" xfId="0" applyNumberFormat="1" applyFont="1" applyFill="1" applyBorder="1" applyAlignment="1">
      <alignment horizontal="center" vertical="top"/>
    </xf>
    <xf numFmtId="0" fontId="29" fillId="2" borderId="1" xfId="0" applyFont="1" applyFill="1" applyBorder="1" applyAlignment="1">
      <alignment horizontal="center" vertical="center"/>
    </xf>
    <xf numFmtId="4" fontId="10" fillId="2" borderId="1" xfId="0" applyNumberFormat="1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left" vertical="center" wrapText="1"/>
    </xf>
    <xf numFmtId="49" fontId="11" fillId="2" borderId="0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left" vertical="center" wrapText="1"/>
    </xf>
    <xf numFmtId="0" fontId="8" fillId="2" borderId="0" xfId="1" applyFont="1" applyFill="1" applyBorder="1" applyAlignment="1">
      <alignment horizontal="center" vertical="center" wrapText="1"/>
    </xf>
    <xf numFmtId="0" fontId="11" fillId="2" borderId="1" xfId="1" applyFont="1" applyFill="1" applyBorder="1" applyAlignment="1">
      <alignment horizontal="left" vertical="center" wrapText="1"/>
    </xf>
    <xf numFmtId="0" fontId="11" fillId="2" borderId="1" xfId="1" applyFont="1" applyFill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25" fillId="2" borderId="1" xfId="1" applyFont="1" applyFill="1" applyBorder="1" applyAlignment="1">
      <alignment horizontal="left" vertical="center" wrapText="1"/>
    </xf>
    <xf numFmtId="0" fontId="0" fillId="2" borderId="0" xfId="0" applyFont="1" applyFill="1" applyAlignment="1">
      <alignment horizontal="left" vertical="center" wrapText="1"/>
    </xf>
    <xf numFmtId="0" fontId="55" fillId="2" borderId="0" xfId="0" applyFont="1" applyFill="1" applyAlignment="1">
      <alignment horizontal="center" vertical="center" wrapText="1"/>
    </xf>
    <xf numFmtId="0" fontId="8" fillId="2" borderId="0" xfId="1" applyFont="1" applyFill="1" applyBorder="1" applyAlignment="1">
      <alignment horizontal="left" vertical="center" wrapText="1"/>
    </xf>
    <xf numFmtId="0" fontId="25" fillId="2" borderId="1" xfId="1" applyFont="1" applyFill="1" applyBorder="1" applyAlignment="1">
      <alignment horizontal="left" wrapText="1"/>
    </xf>
    <xf numFmtId="0" fontId="29" fillId="2" borderId="1" xfId="1" applyFont="1" applyFill="1" applyBorder="1" applyAlignment="1">
      <alignment horizontal="center" vertical="center" wrapText="1"/>
    </xf>
    <xf numFmtId="0" fontId="33" fillId="2" borderId="1" xfId="1" applyFont="1" applyFill="1" applyBorder="1" applyAlignment="1">
      <alignment horizontal="left" vertical="center" wrapText="1"/>
    </xf>
    <xf numFmtId="49" fontId="10" fillId="2" borderId="1" xfId="1" applyNumberFormat="1" applyFont="1" applyFill="1" applyBorder="1" applyAlignment="1">
      <alignment horizontal="center" vertical="center" wrapText="1"/>
    </xf>
    <xf numFmtId="49" fontId="16" fillId="2" borderId="1" xfId="1" applyNumberFormat="1" applyFont="1" applyFill="1" applyBorder="1" applyAlignment="1">
      <alignment horizontal="center" vertical="center" wrapText="1"/>
    </xf>
    <xf numFmtId="0" fontId="25" fillId="2" borderId="1" xfId="1" applyFont="1" applyFill="1" applyBorder="1" applyAlignment="1">
      <alignment horizontal="left" vertical="top" wrapText="1"/>
    </xf>
    <xf numFmtId="0" fontId="11" fillId="2" borderId="1" xfId="0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/>
    </xf>
    <xf numFmtId="0" fontId="29" fillId="2" borderId="0" xfId="0" applyFont="1" applyFill="1" applyBorder="1" applyAlignment="1">
      <alignment horizontal="center" vertical="center"/>
    </xf>
    <xf numFmtId="4" fontId="10" fillId="2" borderId="0" xfId="0" applyNumberFormat="1" applyFont="1" applyFill="1" applyBorder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0" fontId="10" fillId="2" borderId="24" xfId="1" applyFont="1" applyFill="1" applyBorder="1" applyAlignment="1">
      <alignment horizontal="center" vertical="center" wrapText="1"/>
    </xf>
    <xf numFmtId="0" fontId="11" fillId="2" borderId="17" xfId="0" applyFont="1" applyFill="1" applyBorder="1" applyAlignment="1">
      <alignment horizontal="center" vertical="center"/>
    </xf>
    <xf numFmtId="0" fontId="10" fillId="2" borderId="17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 wrapText="1"/>
    </xf>
    <xf numFmtId="4" fontId="15" fillId="0" borderId="0" xfId="0" applyNumberFormat="1" applyFont="1"/>
    <xf numFmtId="0" fontId="10" fillId="2" borderId="1" xfId="0" applyFont="1" applyFill="1" applyBorder="1" applyAlignment="1">
      <alignment horizontal="left" vertical="center" wrapText="1"/>
    </xf>
    <xf numFmtId="0" fontId="8" fillId="2" borderId="0" xfId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0" fillId="2" borderId="1" xfId="1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11" fillId="2" borderId="1" xfId="1" applyFont="1" applyFill="1" applyBorder="1" applyAlignment="1">
      <alignment horizontal="center" vertical="center" wrapText="1"/>
    </xf>
    <xf numFmtId="0" fontId="25" fillId="2" borderId="1" xfId="1" applyFont="1" applyFill="1" applyBorder="1" applyAlignment="1">
      <alignment horizontal="left" vertical="center" wrapText="1"/>
    </xf>
    <xf numFmtId="0" fontId="7" fillId="2" borderId="1" xfId="1" applyFont="1" applyFill="1" applyBorder="1" applyAlignment="1">
      <alignment horizontal="left" vertical="center" wrapText="1"/>
    </xf>
    <xf numFmtId="0" fontId="25" fillId="2" borderId="1" xfId="0" applyFont="1" applyFill="1" applyBorder="1" applyAlignment="1">
      <alignment horizontal="left" vertical="center" wrapText="1"/>
    </xf>
    <xf numFmtId="0" fontId="25" fillId="2" borderId="1" xfId="1" applyFont="1" applyFill="1" applyBorder="1" applyAlignment="1">
      <alignment horizontal="left" vertical="top" wrapText="1"/>
    </xf>
    <xf numFmtId="0" fontId="10" fillId="2" borderId="1" xfId="1" applyFont="1" applyFill="1" applyBorder="1" applyAlignment="1">
      <alignment horizontal="left" vertical="center" wrapText="1"/>
    </xf>
    <xf numFmtId="0" fontId="25" fillId="2" borderId="1" xfId="1" applyFont="1" applyFill="1" applyBorder="1" applyAlignment="1">
      <alignment horizontal="center" vertical="center" wrapText="1"/>
    </xf>
    <xf numFmtId="0" fontId="33" fillId="2" borderId="1" xfId="1" applyFont="1" applyFill="1" applyBorder="1" applyAlignment="1">
      <alignment horizontal="left" vertical="center" wrapText="1"/>
    </xf>
    <xf numFmtId="0" fontId="11" fillId="2" borderId="1" xfId="1" applyFont="1" applyFill="1" applyBorder="1" applyAlignment="1">
      <alignment horizontal="left" vertical="center" wrapText="1"/>
    </xf>
    <xf numFmtId="49" fontId="10" fillId="2" borderId="1" xfId="1" applyNumberFormat="1" applyFont="1" applyFill="1" applyBorder="1" applyAlignment="1">
      <alignment horizontal="center" vertical="center" wrapText="1"/>
    </xf>
    <xf numFmtId="49" fontId="16" fillId="2" borderId="1" xfId="1" applyNumberFormat="1" applyFont="1" applyFill="1" applyBorder="1" applyAlignment="1">
      <alignment horizontal="center" vertical="center" wrapText="1"/>
    </xf>
    <xf numFmtId="0" fontId="43" fillId="2" borderId="7" xfId="0" applyFont="1" applyFill="1" applyBorder="1" applyAlignment="1">
      <alignment horizontal="center"/>
    </xf>
    <xf numFmtId="0" fontId="25" fillId="2" borderId="1" xfId="0" applyFont="1" applyFill="1" applyBorder="1" applyAlignment="1">
      <alignment horizontal="left" vertical="center"/>
    </xf>
    <xf numFmtId="0" fontId="29" fillId="2" borderId="1" xfId="1" applyFont="1" applyFill="1" applyBorder="1" applyAlignment="1">
      <alignment horizontal="center" vertical="center" wrapText="1"/>
    </xf>
    <xf numFmtId="4" fontId="10" fillId="2" borderId="1" xfId="1" applyNumberFormat="1" applyFont="1" applyFill="1" applyBorder="1" applyAlignment="1">
      <alignment horizontal="center" wrapText="1"/>
    </xf>
    <xf numFmtId="4" fontId="10" fillId="2" borderId="1" xfId="1" applyNumberFormat="1" applyFont="1" applyFill="1" applyBorder="1" applyAlignment="1">
      <alignment horizontal="center"/>
    </xf>
    <xf numFmtId="0" fontId="11" fillId="2" borderId="7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8" fillId="2" borderId="0" xfId="1" applyFont="1" applyFill="1" applyBorder="1" applyAlignment="1">
      <alignment horizontal="left" vertical="center" wrapText="1"/>
    </xf>
    <xf numFmtId="0" fontId="25" fillId="2" borderId="1" xfId="1" applyFont="1" applyFill="1" applyBorder="1" applyAlignment="1">
      <alignment horizontal="left" wrapText="1"/>
    </xf>
    <xf numFmtId="0" fontId="11" fillId="2" borderId="1" xfId="1" applyFont="1" applyFill="1" applyBorder="1" applyAlignment="1">
      <alignment horizontal="center" vertical="center"/>
    </xf>
    <xf numFmtId="0" fontId="25" fillId="2" borderId="1" xfId="1" applyFont="1" applyFill="1" applyBorder="1" applyAlignment="1">
      <alignment horizontal="left" vertical="center"/>
    </xf>
    <xf numFmtId="0" fontId="0" fillId="2" borderId="0" xfId="0" applyFont="1" applyFill="1" applyAlignment="1">
      <alignment horizontal="left" vertical="center" wrapText="1"/>
    </xf>
    <xf numFmtId="0" fontId="55" fillId="2" borderId="0" xfId="0" applyFont="1" applyFill="1" applyAlignment="1">
      <alignment horizontal="center" vertical="center" wrapText="1"/>
    </xf>
    <xf numFmtId="49" fontId="24" fillId="2" borderId="24" xfId="0" applyNumberFormat="1" applyFont="1" applyFill="1" applyBorder="1" applyAlignment="1">
      <alignment horizontal="center" vertical="center" wrapText="1"/>
    </xf>
    <xf numFmtId="49" fontId="24" fillId="2" borderId="35" xfId="0" applyNumberFormat="1" applyFont="1" applyFill="1" applyBorder="1" applyAlignment="1">
      <alignment horizontal="center" vertical="center" wrapText="1"/>
    </xf>
    <xf numFmtId="49" fontId="24" fillId="2" borderId="33" xfId="0" applyNumberFormat="1" applyFont="1" applyFill="1" applyBorder="1" applyAlignment="1">
      <alignment horizontal="center" vertical="center" wrapText="1"/>
    </xf>
    <xf numFmtId="0" fontId="24" fillId="2" borderId="1" xfId="1" applyFont="1" applyFill="1" applyBorder="1" applyAlignment="1">
      <alignment horizontal="left" vertical="center" wrapText="1"/>
    </xf>
    <xf numFmtId="49" fontId="8" fillId="2" borderId="1" xfId="0" applyNumberFormat="1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/>
    </xf>
    <xf numFmtId="4" fontId="10" fillId="2" borderId="1" xfId="0" applyNumberFormat="1" applyFont="1" applyFill="1" applyBorder="1" applyAlignment="1">
      <alignment horizontal="center" vertical="center"/>
    </xf>
    <xf numFmtId="49" fontId="11" fillId="2" borderId="0" xfId="0" applyNumberFormat="1" applyFont="1" applyFill="1" applyBorder="1" applyAlignment="1">
      <alignment horizontal="center" vertical="center" wrapText="1"/>
    </xf>
    <xf numFmtId="0" fontId="11" fillId="2" borderId="1" xfId="1" applyFont="1" applyFill="1" applyBorder="1" applyAlignment="1">
      <alignment horizontal="center" vertical="top" wrapText="1"/>
    </xf>
    <xf numFmtId="0" fontId="10" fillId="2" borderId="1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49" fontId="24" fillId="2" borderId="1" xfId="0" applyNumberFormat="1" applyFont="1" applyFill="1" applyBorder="1" applyAlignment="1">
      <alignment horizontal="center" vertical="top"/>
    </xf>
    <xf numFmtId="0" fontId="10" fillId="2" borderId="1" xfId="0" applyFont="1" applyFill="1" applyBorder="1" applyAlignment="1">
      <alignment horizontal="left" vertical="top" wrapText="1"/>
    </xf>
    <xf numFmtId="0" fontId="11" fillId="2" borderId="1" xfId="0" applyFont="1" applyFill="1" applyBorder="1" applyAlignment="1">
      <alignment horizontal="center" vertical="top" wrapText="1"/>
    </xf>
    <xf numFmtId="0" fontId="0" fillId="2" borderId="1" xfId="0" applyFont="1" applyFill="1" applyBorder="1"/>
    <xf numFmtId="0" fontId="10" fillId="2" borderId="1" xfId="0" applyNumberFormat="1" applyFont="1" applyFill="1" applyBorder="1" applyAlignment="1" applyProtection="1">
      <alignment horizontal="center" vertical="center" wrapText="1"/>
    </xf>
    <xf numFmtId="0" fontId="3" fillId="2" borderId="1" xfId="1" applyNumberFormat="1" applyFont="1" applyFill="1" applyBorder="1" applyAlignment="1" applyProtection="1">
      <alignment horizontal="center" vertical="center" wrapText="1"/>
    </xf>
    <xf numFmtId="49" fontId="10" fillId="2" borderId="14" xfId="0" applyNumberFormat="1" applyFont="1" applyFill="1" applyBorder="1" applyAlignment="1" applyProtection="1">
      <alignment horizontal="center" vertical="top" wrapText="1"/>
    </xf>
    <xf numFmtId="49" fontId="10" fillId="2" borderId="6" xfId="0" applyNumberFormat="1" applyFont="1" applyFill="1" applyBorder="1" applyAlignment="1" applyProtection="1">
      <alignment horizontal="center" vertical="top" wrapText="1"/>
    </xf>
    <xf numFmtId="49" fontId="10" fillId="2" borderId="5" xfId="0" applyNumberFormat="1" applyFont="1" applyFill="1" applyBorder="1" applyAlignment="1" applyProtection="1">
      <alignment horizontal="center" vertical="top" wrapText="1"/>
    </xf>
    <xf numFmtId="0" fontId="11" fillId="2" borderId="0" xfId="0" applyNumberFormat="1" applyFont="1" applyFill="1" applyBorder="1" applyAlignment="1" applyProtection="1">
      <alignment horizontal="center" vertical="center"/>
    </xf>
    <xf numFmtId="0" fontId="24" fillId="2" borderId="0" xfId="0" applyFont="1" applyFill="1" applyBorder="1" applyAlignment="1">
      <alignment horizontal="left" vertical="center" wrapText="1"/>
    </xf>
    <xf numFmtId="0" fontId="24" fillId="2" borderId="12" xfId="0" applyFont="1" applyFill="1" applyBorder="1" applyAlignment="1">
      <alignment horizontal="left" vertical="center" wrapText="1"/>
    </xf>
    <xf numFmtId="0" fontId="24" fillId="2" borderId="13" xfId="0" applyFont="1" applyFill="1" applyBorder="1" applyAlignment="1">
      <alignment horizontal="left" vertical="center" wrapText="1"/>
    </xf>
    <xf numFmtId="0" fontId="24" fillId="2" borderId="11" xfId="0" applyFont="1" applyFill="1" applyBorder="1" applyAlignment="1">
      <alignment horizontal="left" vertical="center" wrapText="1"/>
    </xf>
    <xf numFmtId="1" fontId="24" fillId="2" borderId="1" xfId="1" applyNumberFormat="1" applyFont="1" applyFill="1" applyBorder="1" applyAlignment="1">
      <alignment horizontal="center" vertical="center" wrapText="1"/>
    </xf>
    <xf numFmtId="0" fontId="10" fillId="2" borderId="1" xfId="1" applyFont="1" applyFill="1" applyBorder="1" applyAlignment="1">
      <alignment horizontal="justify" vertical="top" wrapText="1"/>
    </xf>
    <xf numFmtId="0" fontId="10" fillId="2" borderId="1" xfId="1" applyFont="1" applyFill="1" applyBorder="1" applyAlignment="1">
      <alignment horizontal="left" vertical="top" wrapText="1"/>
    </xf>
    <xf numFmtId="0" fontId="16" fillId="2" borderId="1" xfId="1" applyFont="1" applyFill="1" applyBorder="1" applyAlignment="1">
      <alignment horizontal="justify" vertical="top" wrapText="1"/>
    </xf>
    <xf numFmtId="0" fontId="17" fillId="2" borderId="1" xfId="0" applyFont="1" applyFill="1" applyBorder="1"/>
    <xf numFmtId="0" fontId="10" fillId="2" borderId="1" xfId="1" applyFont="1" applyFill="1" applyBorder="1" applyAlignment="1">
      <alignment vertical="top" wrapText="1"/>
    </xf>
    <xf numFmtId="0" fontId="13" fillId="2" borderId="0" xfId="0" applyFont="1" applyFill="1" applyAlignment="1">
      <alignment horizontal="center"/>
    </xf>
    <xf numFmtId="0" fontId="4" fillId="2" borderId="0" xfId="2" applyNumberFormat="1" applyFont="1" applyFill="1" applyBorder="1" applyAlignment="1" applyProtection="1">
      <alignment horizontal="right"/>
    </xf>
    <xf numFmtId="0" fontId="4" fillId="2" borderId="0" xfId="0" applyFont="1" applyFill="1" applyAlignment="1">
      <alignment horizontal="center"/>
    </xf>
    <xf numFmtId="0" fontId="0" fillId="2" borderId="0" xfId="0" applyFont="1" applyFill="1" applyAlignment="1">
      <alignment horizontal="center"/>
    </xf>
    <xf numFmtId="0" fontId="5" fillId="2" borderId="0" xfId="0" applyFont="1" applyFill="1" applyBorder="1" applyAlignment="1">
      <alignment horizontal="center" vertical="center"/>
    </xf>
    <xf numFmtId="49" fontId="3" fillId="2" borderId="0" xfId="0" applyNumberFormat="1" applyFont="1" applyFill="1" applyAlignment="1">
      <alignment horizontal="center" vertical="center"/>
    </xf>
    <xf numFmtId="0" fontId="4" fillId="2" borderId="0" xfId="1" applyNumberFormat="1" applyFont="1" applyFill="1" applyBorder="1" applyAlignment="1" applyProtection="1">
      <alignment horizontal="right"/>
    </xf>
    <xf numFmtId="0" fontId="6" fillId="2" borderId="0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7" fillId="2" borderId="1" xfId="1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11" fillId="2" borderId="18" xfId="0" applyFont="1" applyFill="1" applyBorder="1" applyAlignment="1">
      <alignment horizontal="center" vertical="center"/>
    </xf>
    <xf numFmtId="0" fontId="11" fillId="2" borderId="17" xfId="0" applyFont="1" applyFill="1" applyBorder="1" applyAlignment="1">
      <alignment horizontal="center" vertical="center"/>
    </xf>
    <xf numFmtId="49" fontId="10" fillId="2" borderId="18" xfId="0" applyNumberFormat="1" applyFont="1" applyFill="1" applyBorder="1" applyAlignment="1">
      <alignment horizontal="center" vertical="center" wrapText="1"/>
    </xf>
    <xf numFmtId="49" fontId="10" fillId="2" borderId="17" xfId="0" applyNumberFormat="1" applyFont="1" applyFill="1" applyBorder="1" applyAlignment="1">
      <alignment horizontal="center" vertical="center" wrapText="1"/>
    </xf>
    <xf numFmtId="0" fontId="10" fillId="2" borderId="18" xfId="0" applyFont="1" applyFill="1" applyBorder="1" applyAlignment="1">
      <alignment horizontal="center" vertical="center"/>
    </xf>
    <xf numFmtId="0" fontId="10" fillId="2" borderId="17" xfId="0" applyFont="1" applyFill="1" applyBorder="1" applyAlignment="1">
      <alignment horizontal="center" vertical="center"/>
    </xf>
    <xf numFmtId="49" fontId="10" fillId="2" borderId="24" xfId="0" applyNumberFormat="1" applyFont="1" applyFill="1" applyBorder="1" applyAlignment="1">
      <alignment horizontal="left" vertical="center" wrapText="1"/>
    </xf>
    <xf numFmtId="49" fontId="10" fillId="2" borderId="35" xfId="0" applyNumberFormat="1" applyFont="1" applyFill="1" applyBorder="1" applyAlignment="1">
      <alignment horizontal="left" vertical="center" wrapText="1"/>
    </xf>
    <xf numFmtId="49" fontId="10" fillId="2" borderId="33" xfId="0" applyNumberFormat="1" applyFont="1" applyFill="1" applyBorder="1" applyAlignment="1">
      <alignment horizontal="left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25" fillId="2" borderId="1" xfId="1" applyFont="1" applyFill="1" applyBorder="1" applyAlignment="1">
      <alignment horizontal="center" vertical="top" wrapText="1"/>
    </xf>
    <xf numFmtId="0" fontId="10" fillId="2" borderId="24" xfId="1" applyFont="1" applyFill="1" applyBorder="1" applyAlignment="1">
      <alignment horizontal="center" vertical="center" wrapText="1"/>
    </xf>
    <xf numFmtId="0" fontId="10" fillId="2" borderId="35" xfId="1" applyFont="1" applyFill="1" applyBorder="1" applyAlignment="1">
      <alignment horizontal="center" vertical="center" wrapText="1"/>
    </xf>
    <xf numFmtId="0" fontId="10" fillId="2" borderId="8" xfId="1" applyFont="1" applyFill="1" applyBorder="1" applyAlignment="1">
      <alignment horizontal="center" vertical="center" wrapText="1"/>
    </xf>
    <xf numFmtId="0" fontId="10" fillId="2" borderId="38" xfId="1" applyFont="1" applyFill="1" applyBorder="1" applyAlignment="1">
      <alignment horizontal="center" vertical="center" wrapText="1"/>
    </xf>
    <xf numFmtId="0" fontId="10" fillId="2" borderId="10" xfId="1" applyFont="1" applyFill="1" applyBorder="1" applyAlignment="1">
      <alignment horizontal="center" vertical="center" wrapText="1"/>
    </xf>
    <xf numFmtId="0" fontId="10" fillId="2" borderId="11" xfId="1" applyFont="1" applyFill="1" applyBorder="1" applyAlignment="1">
      <alignment horizontal="center" vertical="center" wrapText="1"/>
    </xf>
    <xf numFmtId="0" fontId="11" fillId="2" borderId="31" xfId="0" applyFont="1" applyFill="1" applyBorder="1" applyAlignment="1">
      <alignment horizontal="center" vertical="center"/>
    </xf>
    <xf numFmtId="49" fontId="10" fillId="2" borderId="31" xfId="0" applyNumberFormat="1" applyFont="1" applyFill="1" applyBorder="1" applyAlignment="1">
      <alignment horizontal="center" vertical="center" wrapText="1"/>
    </xf>
    <xf numFmtId="0" fontId="10" fillId="2" borderId="31" xfId="0" applyFont="1" applyFill="1" applyBorder="1" applyAlignment="1">
      <alignment horizontal="center" vertical="center"/>
    </xf>
    <xf numFmtId="0" fontId="11" fillId="2" borderId="37" xfId="1" applyFont="1" applyFill="1" applyBorder="1" applyAlignment="1">
      <alignment horizontal="center" vertical="center" wrapText="1"/>
    </xf>
    <xf numFmtId="0" fontId="11" fillId="2" borderId="35" xfId="1" applyFont="1" applyFill="1" applyBorder="1" applyAlignment="1">
      <alignment horizontal="center" vertical="center" wrapText="1"/>
    </xf>
    <xf numFmtId="0" fontId="11" fillId="2" borderId="8" xfId="1" applyFont="1" applyFill="1" applyBorder="1" applyAlignment="1">
      <alignment horizontal="center" vertical="center" wrapText="1"/>
    </xf>
    <xf numFmtId="0" fontId="25" fillId="2" borderId="24" xfId="1" applyFont="1" applyFill="1" applyBorder="1" applyAlignment="1">
      <alignment horizontal="left" vertical="center" wrapText="1"/>
    </xf>
    <xf numFmtId="0" fontId="25" fillId="2" borderId="35" xfId="1" applyFont="1" applyFill="1" applyBorder="1" applyAlignment="1">
      <alignment horizontal="left" vertical="center" wrapText="1"/>
    </xf>
    <xf numFmtId="0" fontId="25" fillId="2" borderId="8" xfId="1" applyFont="1" applyFill="1" applyBorder="1" applyAlignment="1">
      <alignment horizontal="left" vertical="center" wrapText="1"/>
    </xf>
    <xf numFmtId="0" fontId="11" fillId="2" borderId="34" xfId="1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center" vertical="center"/>
    </xf>
    <xf numFmtId="0" fontId="11" fillId="2" borderId="17" xfId="1" applyFont="1" applyFill="1" applyBorder="1" applyAlignment="1">
      <alignment horizontal="center" vertical="center" wrapText="1"/>
    </xf>
    <xf numFmtId="0" fontId="25" fillId="2" borderId="17" xfId="1" applyFont="1" applyFill="1" applyBorder="1" applyAlignment="1">
      <alignment horizontal="left" vertical="center" wrapText="1"/>
    </xf>
    <xf numFmtId="0" fontId="25" fillId="2" borderId="33" xfId="1" applyFont="1" applyFill="1" applyBorder="1" applyAlignment="1">
      <alignment horizontal="left" vertical="center" wrapText="1"/>
    </xf>
    <xf numFmtId="0" fontId="25" fillId="2" borderId="17" xfId="0" applyFont="1" applyFill="1" applyBorder="1" applyAlignment="1">
      <alignment horizontal="left" vertical="center" wrapText="1"/>
    </xf>
    <xf numFmtId="0" fontId="25" fillId="2" borderId="17" xfId="0" applyFont="1" applyFill="1" applyBorder="1" applyAlignment="1">
      <alignment horizontal="left" vertical="center"/>
    </xf>
    <xf numFmtId="0" fontId="8" fillId="2" borderId="34" xfId="0" applyFont="1" applyFill="1" applyBorder="1" applyAlignment="1">
      <alignment horizontal="center" vertical="center" wrapText="1"/>
    </xf>
    <xf numFmtId="0" fontId="11" fillId="2" borderId="28" xfId="1" applyFont="1" applyFill="1" applyBorder="1" applyAlignment="1">
      <alignment horizontal="center" vertical="center" wrapText="1"/>
    </xf>
    <xf numFmtId="0" fontId="11" fillId="2" borderId="24" xfId="1" applyFont="1" applyFill="1" applyBorder="1" applyAlignment="1">
      <alignment horizontal="left" vertical="center" wrapText="1"/>
    </xf>
    <xf numFmtId="0" fontId="11" fillId="2" borderId="35" xfId="1" applyFont="1" applyFill="1" applyBorder="1" applyAlignment="1">
      <alignment horizontal="left" vertical="center" wrapText="1"/>
    </xf>
    <xf numFmtId="0" fontId="11" fillId="2" borderId="8" xfId="1" applyFont="1" applyFill="1" applyBorder="1" applyAlignment="1">
      <alignment horizontal="left" vertical="center" wrapText="1"/>
    </xf>
    <xf numFmtId="0" fontId="25" fillId="2" borderId="31" xfId="1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4" fontId="10" fillId="2" borderId="0" xfId="0" applyNumberFormat="1" applyFont="1" applyFill="1" applyBorder="1" applyAlignment="1">
      <alignment horizontal="center" vertical="center"/>
    </xf>
    <xf numFmtId="0" fontId="8" fillId="2" borderId="34" xfId="1" applyFont="1" applyFill="1" applyBorder="1" applyAlignment="1">
      <alignment horizontal="center" vertical="center" wrapText="1"/>
    </xf>
    <xf numFmtId="0" fontId="26" fillId="2" borderId="1" xfId="1" applyNumberFormat="1" applyFont="1" applyFill="1" applyBorder="1" applyAlignment="1" applyProtection="1">
      <alignment horizontal="center" vertical="center" wrapText="1"/>
    </xf>
    <xf numFmtId="0" fontId="13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49" fontId="8" fillId="2" borderId="0" xfId="0" applyNumberFormat="1" applyFont="1" applyFill="1" applyBorder="1" applyAlignment="1">
      <alignment horizontal="center" vertical="center" wrapText="1"/>
    </xf>
  </cellXfs>
  <cellStyles count="6">
    <cellStyle name="Обычный" xfId="0" builtinId="0"/>
    <cellStyle name="Обычный 16" xfId="4" xr:uid="{00000000-0005-0000-0000-000001000000}"/>
    <cellStyle name="Обычный 2" xfId="1" xr:uid="{00000000-0005-0000-0000-000002000000}"/>
    <cellStyle name="Обычный 2 10" xfId="5" xr:uid="{00000000-0005-0000-0000-000003000000}"/>
    <cellStyle name="Обычный 2 2" xfId="2" xr:uid="{00000000-0005-0000-0000-000004000000}"/>
    <cellStyle name="Обычный 3" xfId="3" xr:uid="{00000000-0005-0000-0000-00000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933450</xdr:colOff>
      <xdr:row>77</xdr:row>
      <xdr:rowOff>19050</xdr:rowOff>
    </xdr:from>
    <xdr:to>
      <xdr:col>6</xdr:col>
      <xdr:colOff>771525</xdr:colOff>
      <xdr:row>84</xdr:row>
      <xdr:rowOff>166604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DAE80633-0AA5-48B0-BEB5-02DACB813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57675" y="19050"/>
          <a:ext cx="3390900" cy="18144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190500</xdr:colOff>
      <xdr:row>77</xdr:row>
      <xdr:rowOff>114300</xdr:rowOff>
    </xdr:from>
    <xdr:to>
      <xdr:col>47</xdr:col>
      <xdr:colOff>600075</xdr:colOff>
      <xdr:row>86</xdr:row>
      <xdr:rowOff>66675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3355300" y="114300"/>
          <a:ext cx="4067175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</sheetPr>
  <dimension ref="A1:IV1566"/>
  <sheetViews>
    <sheetView tabSelected="1" view="pageBreakPreview" topLeftCell="A78" zoomScaleSheetLayoutView="100" zoomScalePageLayoutView="59" workbookViewId="0">
      <selection activeCell="DT81" sqref="DT81"/>
    </sheetView>
  </sheetViews>
  <sheetFormatPr defaultRowHeight="12.75" x14ac:dyDescent="0.2"/>
  <cols>
    <col min="1" max="1" width="8.5703125" style="374" customWidth="1"/>
    <col min="2" max="2" width="41.28515625" style="1" customWidth="1"/>
    <col min="3" max="3" width="17" style="374" customWidth="1"/>
    <col min="4" max="4" width="12" style="374" customWidth="1"/>
    <col min="5" max="5" width="12.28515625" style="2" customWidth="1"/>
    <col min="6" max="6" width="12" style="374" customWidth="1"/>
    <col min="7" max="7" width="17.28515625" style="3" customWidth="1"/>
    <col min="8" max="8" width="11" style="2" hidden="1" customWidth="1"/>
    <col min="9" max="36" width="9.140625" style="2" hidden="1" customWidth="1"/>
    <col min="37" max="37" width="19.140625" style="2" hidden="1" customWidth="1"/>
    <col min="38" max="62" width="9.140625" style="2" hidden="1" customWidth="1"/>
    <col min="63" max="63" width="19.85546875" style="2" hidden="1" customWidth="1"/>
    <col min="64" max="67" width="9.140625" style="2" hidden="1" customWidth="1"/>
    <col min="68" max="68" width="33.28515625" style="2" hidden="1" customWidth="1"/>
    <col min="69" max="85" width="9.140625" style="2" hidden="1" customWidth="1"/>
    <col min="86" max="86" width="4.5703125" style="2" hidden="1" customWidth="1"/>
    <col min="87" max="112" width="9.140625" style="2" hidden="1" customWidth="1"/>
    <col min="113" max="113" width="9.140625" style="2" customWidth="1"/>
    <col min="114" max="173" width="9.140625" customWidth="1"/>
  </cols>
  <sheetData>
    <row r="1" hidden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hidden="1" x14ac:dyDescent="0.2"/>
    <row r="18" hidden="1" x14ac:dyDescent="0.2"/>
    <row r="19" hidden="1" x14ac:dyDescent="0.2"/>
    <row r="20" hidden="1" x14ac:dyDescent="0.2"/>
    <row r="21" hidden="1" x14ac:dyDescent="0.2"/>
    <row r="22" hidden="1" x14ac:dyDescent="0.2"/>
    <row r="23" hidden="1" x14ac:dyDescent="0.2"/>
    <row r="24" hidden="1" x14ac:dyDescent="0.2"/>
    <row r="25" hidden="1" x14ac:dyDescent="0.2"/>
    <row r="26" hidden="1" x14ac:dyDescent="0.2"/>
    <row r="27" hidden="1" x14ac:dyDescent="0.2"/>
    <row r="28" hidden="1" x14ac:dyDescent="0.2"/>
    <row r="29" hidden="1" x14ac:dyDescent="0.2"/>
    <row r="30" hidden="1" x14ac:dyDescent="0.2"/>
    <row r="31" hidden="1" x14ac:dyDescent="0.2"/>
    <row r="32" hidden="1" x14ac:dyDescent="0.2"/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spans="1:7" hidden="1" x14ac:dyDescent="0.2"/>
    <row r="66" spans="1:7" hidden="1" x14ac:dyDescent="0.2"/>
    <row r="67" spans="1:7" hidden="1" x14ac:dyDescent="0.2"/>
    <row r="68" spans="1:7" hidden="1" x14ac:dyDescent="0.2"/>
    <row r="69" spans="1:7" hidden="1" x14ac:dyDescent="0.2"/>
    <row r="70" spans="1:7" hidden="1" x14ac:dyDescent="0.2"/>
    <row r="71" spans="1:7" hidden="1" x14ac:dyDescent="0.2"/>
    <row r="72" spans="1:7" hidden="1" x14ac:dyDescent="0.2"/>
    <row r="73" spans="1:7" hidden="1" x14ac:dyDescent="0.2"/>
    <row r="74" spans="1:7" hidden="1" x14ac:dyDescent="0.2"/>
    <row r="75" spans="1:7" hidden="1" x14ac:dyDescent="0.2"/>
    <row r="76" spans="1:7" hidden="1" x14ac:dyDescent="0.2"/>
    <row r="77" spans="1:7" ht="9" hidden="1" customHeight="1" x14ac:dyDescent="0.2">
      <c r="A77" s="491"/>
      <c r="B77" s="491"/>
      <c r="C77" s="491"/>
      <c r="D77" s="491"/>
      <c r="E77" s="491"/>
      <c r="F77" s="491"/>
      <c r="G77" s="491"/>
    </row>
    <row r="78" spans="1:7" ht="18.75" x14ac:dyDescent="0.3">
      <c r="A78" s="492"/>
      <c r="B78" s="492"/>
      <c r="C78" s="492"/>
      <c r="D78" s="492"/>
      <c r="E78" s="492"/>
      <c r="F78" s="492"/>
      <c r="G78" s="492"/>
    </row>
    <row r="79" spans="1:7" ht="18.75" x14ac:dyDescent="0.3">
      <c r="A79" s="487"/>
      <c r="B79" s="487"/>
      <c r="C79" s="487"/>
      <c r="D79" s="487"/>
      <c r="E79" s="487"/>
      <c r="F79" s="487"/>
      <c r="G79" s="487"/>
    </row>
    <row r="80" spans="1:7" ht="18.75" x14ac:dyDescent="0.3">
      <c r="A80" s="487"/>
      <c r="B80" s="487"/>
      <c r="C80" s="487"/>
      <c r="D80" s="487"/>
      <c r="E80" s="487"/>
      <c r="F80" s="487"/>
      <c r="G80" s="487"/>
    </row>
    <row r="81" spans="1:113" ht="18.75" x14ac:dyDescent="0.3">
      <c r="A81" s="487"/>
      <c r="B81" s="487"/>
      <c r="C81" s="487"/>
      <c r="D81" s="487"/>
      <c r="E81" s="487"/>
      <c r="F81" s="487"/>
      <c r="G81" s="487"/>
    </row>
    <row r="82" spans="1:113" ht="18.75" x14ac:dyDescent="0.3">
      <c r="A82" s="487"/>
      <c r="B82" s="487"/>
      <c r="C82" s="487"/>
      <c r="D82" s="487"/>
      <c r="E82" s="487"/>
      <c r="F82" s="487"/>
      <c r="G82" s="487"/>
    </row>
    <row r="83" spans="1:113" ht="18.75" x14ac:dyDescent="0.3">
      <c r="A83" s="487"/>
      <c r="B83" s="487"/>
      <c r="C83" s="487"/>
      <c r="D83" s="487"/>
      <c r="E83" s="487"/>
      <c r="F83" s="487"/>
      <c r="G83" s="487"/>
    </row>
    <row r="84" spans="1:113" ht="18.75" x14ac:dyDescent="0.3">
      <c r="A84" s="487"/>
      <c r="B84" s="487"/>
      <c r="C84" s="487"/>
      <c r="D84" s="487"/>
      <c r="E84" s="487"/>
      <c r="F84" s="487"/>
      <c r="G84" s="487"/>
    </row>
    <row r="85" spans="1:113" ht="18.75" x14ac:dyDescent="0.3">
      <c r="A85" s="487"/>
      <c r="B85" s="487"/>
      <c r="C85" s="487"/>
      <c r="D85" s="487"/>
      <c r="E85" s="487"/>
      <c r="F85" s="487"/>
      <c r="G85" s="487"/>
    </row>
    <row r="86" spans="1:113" ht="18.75" x14ac:dyDescent="0.3">
      <c r="A86" s="373"/>
      <c r="B86" s="5"/>
      <c r="C86" s="373"/>
      <c r="D86" s="373"/>
      <c r="E86" s="488"/>
      <c r="F86" s="488"/>
      <c r="G86" s="488"/>
    </row>
    <row r="87" spans="1:113" x14ac:dyDescent="0.2">
      <c r="E87" s="489"/>
      <c r="F87" s="489"/>
      <c r="G87" s="489"/>
    </row>
    <row r="88" spans="1:113" ht="19.5" customHeight="1" x14ac:dyDescent="0.2">
      <c r="C88" s="3"/>
      <c r="D88" s="3"/>
      <c r="E88" s="3"/>
      <c r="F88" s="3"/>
      <c r="H88" s="3"/>
      <c r="I88" s="3"/>
      <c r="J88" s="3"/>
      <c r="K88" s="3"/>
      <c r="L88" s="3"/>
      <c r="M88" s="3"/>
      <c r="N88" s="3"/>
      <c r="O88" s="3"/>
    </row>
    <row r="89" spans="1:113" ht="20.25" x14ac:dyDescent="0.2">
      <c r="A89" s="490" t="s">
        <v>4</v>
      </c>
      <c r="B89" s="490"/>
      <c r="C89" s="490"/>
      <c r="D89" s="490"/>
      <c r="E89" s="490"/>
      <c r="F89" s="490"/>
      <c r="G89" s="490"/>
    </row>
    <row r="90" spans="1:113" ht="45" customHeight="1" x14ac:dyDescent="0.2">
      <c r="A90" s="493" t="s">
        <v>5</v>
      </c>
      <c r="B90" s="493"/>
      <c r="C90" s="493"/>
      <c r="D90" s="493"/>
      <c r="E90" s="493"/>
      <c r="F90" s="493"/>
      <c r="G90" s="493"/>
    </row>
    <row r="91" spans="1:113" ht="9.75" customHeight="1" x14ac:dyDescent="0.2">
      <c r="A91" s="494"/>
      <c r="B91" s="494"/>
      <c r="C91" s="494"/>
      <c r="D91" s="494"/>
      <c r="E91" s="494"/>
      <c r="F91" s="494"/>
      <c r="G91" s="494"/>
    </row>
    <row r="92" spans="1:113" ht="36.75" customHeight="1" x14ac:dyDescent="0.2">
      <c r="A92" s="494" t="s">
        <v>2368</v>
      </c>
      <c r="B92" s="494"/>
      <c r="C92" s="494"/>
      <c r="D92" s="494"/>
      <c r="E92" s="494"/>
      <c r="F92" s="494"/>
      <c r="G92" s="494"/>
    </row>
    <row r="93" spans="1:113" ht="30.75" customHeight="1" x14ac:dyDescent="0.2">
      <c r="A93" s="428" t="s">
        <v>2029</v>
      </c>
      <c r="B93" s="428"/>
      <c r="C93" s="428"/>
      <c r="D93" s="428"/>
      <c r="E93" s="428"/>
      <c r="F93" s="428"/>
      <c r="G93" s="428"/>
    </row>
    <row r="94" spans="1:113" s="6" customFormat="1" ht="24" customHeight="1" thickBot="1" x14ac:dyDescent="0.25">
      <c r="A94" s="424" t="s">
        <v>2039</v>
      </c>
      <c r="B94" s="424"/>
      <c r="C94" s="424"/>
      <c r="D94" s="424"/>
      <c r="E94" s="424"/>
      <c r="F94" s="424"/>
      <c r="G94" s="424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</row>
    <row r="95" spans="1:113" s="6" customFormat="1" ht="16.5" hidden="1" thickBot="1" x14ac:dyDescent="0.3">
      <c r="A95" s="7"/>
      <c r="B95" s="1"/>
      <c r="C95" s="374"/>
      <c r="D95" s="374"/>
      <c r="E95" s="2"/>
      <c r="F95" s="374"/>
      <c r="G95" s="3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</row>
    <row r="96" spans="1:113" s="6" customFormat="1" ht="70.5" customHeight="1" x14ac:dyDescent="0.2">
      <c r="A96" s="396" t="s">
        <v>6</v>
      </c>
      <c r="B96" s="386" t="s">
        <v>7</v>
      </c>
      <c r="C96" s="386" t="s">
        <v>8</v>
      </c>
      <c r="D96" s="386" t="s">
        <v>9</v>
      </c>
      <c r="E96" s="386" t="s">
        <v>10</v>
      </c>
      <c r="F96" s="8" t="s">
        <v>11</v>
      </c>
      <c r="G96" s="386" t="s">
        <v>12</v>
      </c>
      <c r="H96" s="316"/>
      <c r="I96" s="2"/>
      <c r="J96" s="2"/>
      <c r="K96" s="413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</row>
    <row r="97" spans="1:113" s="11" customFormat="1" ht="15.75" x14ac:dyDescent="0.2">
      <c r="A97" s="396">
        <v>1</v>
      </c>
      <c r="B97" s="386">
        <v>2</v>
      </c>
      <c r="C97" s="386">
        <v>3</v>
      </c>
      <c r="D97" s="386">
        <v>4</v>
      </c>
      <c r="E97" s="386">
        <v>5</v>
      </c>
      <c r="F97" s="386">
        <v>6</v>
      </c>
      <c r="G97" s="386">
        <v>7</v>
      </c>
      <c r="H97" s="9"/>
      <c r="I97" s="486" t="s">
        <v>13</v>
      </c>
      <c r="J97" s="486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</row>
    <row r="98" spans="1:113" s="15" customFormat="1" ht="39" customHeight="1" x14ac:dyDescent="0.2">
      <c r="A98" s="462" t="s">
        <v>14</v>
      </c>
      <c r="B98" s="481" t="s">
        <v>15</v>
      </c>
      <c r="C98" s="379" t="s">
        <v>16</v>
      </c>
      <c r="D98" s="12" t="s">
        <v>17</v>
      </c>
      <c r="E98" s="13">
        <f>533.5*1.055*1.05</f>
        <v>590.98</v>
      </c>
      <c r="F98" s="14">
        <f>E98*20%</f>
        <v>118.2</v>
      </c>
      <c r="G98" s="14">
        <f>E98+F98</f>
        <v>709.18</v>
      </c>
      <c r="H98" s="317"/>
      <c r="I98" s="305">
        <f>E98*18%</f>
        <v>106.38</v>
      </c>
      <c r="J98" s="305">
        <f>E98*1.18</f>
        <v>697.36</v>
      </c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>
        <f>461.9*5%</f>
        <v>23.094999999999999</v>
      </c>
      <c r="AM98" s="305">
        <f>461.9+AL98</f>
        <v>485</v>
      </c>
      <c r="AN98" s="305">
        <f>AM98-E98</f>
        <v>-105.98</v>
      </c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305">
        <f>442.01*1.045</f>
        <v>461.9</v>
      </c>
      <c r="BI98" s="305">
        <f>BH98-E98</f>
        <v>-129.08000000000001</v>
      </c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</row>
    <row r="99" spans="1:113" s="15" customFormat="1" ht="18.75" customHeight="1" x14ac:dyDescent="0.2">
      <c r="A99" s="462"/>
      <c r="B99" s="481"/>
      <c r="C99" s="379" t="s">
        <v>18</v>
      </c>
      <c r="D99" s="379" t="s">
        <v>19</v>
      </c>
      <c r="E99" s="13">
        <f>329.33*1.055*1.05</f>
        <v>364.82</v>
      </c>
      <c r="F99" s="14">
        <f t="shared" ref="F99:F162" si="0">E99*20%</f>
        <v>72.959999999999994</v>
      </c>
      <c r="G99" s="14">
        <f t="shared" ref="G99:G162" si="1">E99+F99</f>
        <v>437.78</v>
      </c>
      <c r="H99" s="317"/>
      <c r="I99" s="305">
        <f t="shared" ref="I99:I162" si="2">E99*18%</f>
        <v>65.67</v>
      </c>
      <c r="J99" s="305">
        <f t="shared" ref="J99:J162" si="3">E99*1.18</f>
        <v>430.49</v>
      </c>
      <c r="K99" s="2"/>
      <c r="L99" s="2"/>
      <c r="M99" s="2"/>
      <c r="N99" s="2"/>
      <c r="O99" s="2"/>
      <c r="P99" s="2"/>
      <c r="Q99" s="2"/>
      <c r="R99" s="2"/>
      <c r="S99" s="2"/>
      <c r="T99" s="2" t="s">
        <v>20</v>
      </c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>
        <v>329.33</v>
      </c>
      <c r="BI99" s="305">
        <f>BH99-E99</f>
        <v>-35.49</v>
      </c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</row>
    <row r="100" spans="1:113" s="15" customFormat="1" ht="37.5" customHeight="1" x14ac:dyDescent="0.2">
      <c r="A100" s="462"/>
      <c r="B100" s="481"/>
      <c r="C100" s="12" t="s">
        <v>21</v>
      </c>
      <c r="D100" s="379" t="s">
        <v>19</v>
      </c>
      <c r="E100" s="13">
        <f>214.47*1.055*1.05</f>
        <v>237.58</v>
      </c>
      <c r="F100" s="14">
        <f t="shared" si="0"/>
        <v>47.52</v>
      </c>
      <c r="G100" s="14">
        <f t="shared" si="1"/>
        <v>285.10000000000002</v>
      </c>
      <c r="H100" s="318"/>
      <c r="I100" s="319">
        <f t="shared" si="2"/>
        <v>42.76</v>
      </c>
      <c r="J100" s="319">
        <f t="shared" si="3"/>
        <v>280.33999999999997</v>
      </c>
      <c r="K100" s="191"/>
      <c r="L100" s="191"/>
      <c r="M100" s="191"/>
      <c r="N100" s="191"/>
      <c r="O100" s="191"/>
      <c r="P100" s="191"/>
      <c r="Q100" s="191"/>
      <c r="R100" s="191"/>
      <c r="S100" s="191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</row>
    <row r="101" spans="1:113" s="15" customFormat="1" ht="47.25" customHeight="1" x14ac:dyDescent="0.2">
      <c r="A101" s="462"/>
      <c r="B101" s="481"/>
      <c r="C101" s="12" t="s">
        <v>22</v>
      </c>
      <c r="D101" s="379" t="s">
        <v>19</v>
      </c>
      <c r="E101" s="13">
        <f>338.07*1.055*1.05</f>
        <v>374.5</v>
      </c>
      <c r="F101" s="14">
        <f t="shared" si="0"/>
        <v>74.900000000000006</v>
      </c>
      <c r="G101" s="14">
        <f t="shared" si="1"/>
        <v>449.4</v>
      </c>
      <c r="H101" s="317"/>
      <c r="I101" s="305">
        <f t="shared" si="2"/>
        <v>67.41</v>
      </c>
      <c r="J101" s="305">
        <f t="shared" si="3"/>
        <v>441.91</v>
      </c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</row>
    <row r="102" spans="1:113" s="15" customFormat="1" ht="42" customHeight="1" x14ac:dyDescent="0.2">
      <c r="A102" s="462"/>
      <c r="B102" s="481"/>
      <c r="C102" s="12" t="s">
        <v>23</v>
      </c>
      <c r="D102" s="379" t="s">
        <v>19</v>
      </c>
      <c r="E102" s="13">
        <f>168.57*1.055*1.05</f>
        <v>186.73</v>
      </c>
      <c r="F102" s="14">
        <f t="shared" si="0"/>
        <v>37.35</v>
      </c>
      <c r="G102" s="14">
        <f t="shared" si="1"/>
        <v>224.08</v>
      </c>
      <c r="H102" s="317" t="s">
        <v>24</v>
      </c>
      <c r="I102" s="305">
        <f t="shared" si="2"/>
        <v>33.61</v>
      </c>
      <c r="J102" s="305">
        <f t="shared" si="3"/>
        <v>220.34</v>
      </c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</row>
    <row r="103" spans="1:113" s="15" customFormat="1" ht="36.75" customHeight="1" thickBot="1" x14ac:dyDescent="0.25">
      <c r="A103" s="462"/>
      <c r="B103" s="481"/>
      <c r="C103" s="16" t="s">
        <v>25</v>
      </c>
      <c r="D103" s="379" t="s">
        <v>19</v>
      </c>
      <c r="E103" s="13">
        <f>148.65*1.055*1.05</f>
        <v>164.67</v>
      </c>
      <c r="F103" s="14">
        <f t="shared" si="0"/>
        <v>32.93</v>
      </c>
      <c r="G103" s="14">
        <f t="shared" si="1"/>
        <v>197.6</v>
      </c>
      <c r="H103" s="317"/>
      <c r="I103" s="305">
        <f t="shared" si="2"/>
        <v>29.64</v>
      </c>
      <c r="J103" s="305">
        <f t="shared" si="3"/>
        <v>194.31</v>
      </c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</row>
    <row r="104" spans="1:113" s="15" customFormat="1" ht="39" customHeight="1" x14ac:dyDescent="0.2">
      <c r="A104" s="462" t="s">
        <v>26</v>
      </c>
      <c r="B104" s="481" t="s">
        <v>27</v>
      </c>
      <c r="C104" s="379" t="s">
        <v>16</v>
      </c>
      <c r="D104" s="12" t="s">
        <v>17</v>
      </c>
      <c r="E104" s="13">
        <f>574.31*1.055*1.05</f>
        <v>636.19000000000005</v>
      </c>
      <c r="F104" s="14">
        <f t="shared" si="0"/>
        <v>127.24</v>
      </c>
      <c r="G104" s="14">
        <f t="shared" si="1"/>
        <v>763.43</v>
      </c>
      <c r="H104" s="316"/>
      <c r="I104" s="320">
        <f t="shared" si="2"/>
        <v>114.51</v>
      </c>
      <c r="J104" s="320">
        <f t="shared" si="3"/>
        <v>750.7</v>
      </c>
      <c r="K104" s="321"/>
      <c r="L104" s="321"/>
      <c r="M104" s="321"/>
      <c r="N104" s="253"/>
      <c r="O104" s="253"/>
      <c r="P104" s="253"/>
      <c r="Q104" s="253"/>
      <c r="R104" s="253"/>
      <c r="S104" s="253"/>
      <c r="T104" s="253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</row>
    <row r="105" spans="1:113" s="15" customFormat="1" ht="17.25" customHeight="1" x14ac:dyDescent="0.2">
      <c r="A105" s="462"/>
      <c r="B105" s="481"/>
      <c r="C105" s="379" t="s">
        <v>28</v>
      </c>
      <c r="D105" s="379" t="s">
        <v>19</v>
      </c>
      <c r="E105" s="13">
        <f>403.01*1.055*1.05</f>
        <v>446.43</v>
      </c>
      <c r="F105" s="14">
        <f t="shared" si="0"/>
        <v>89.29</v>
      </c>
      <c r="G105" s="14">
        <f t="shared" si="1"/>
        <v>535.72</v>
      </c>
      <c r="H105" s="317"/>
      <c r="I105" s="304">
        <f t="shared" si="2"/>
        <v>80.36</v>
      </c>
      <c r="J105" s="304">
        <f t="shared" si="3"/>
        <v>526.79</v>
      </c>
      <c r="K105" s="253"/>
      <c r="L105" s="253"/>
      <c r="M105" s="253"/>
      <c r="N105" s="253"/>
      <c r="O105" s="253"/>
      <c r="P105" s="253"/>
      <c r="Q105" s="253"/>
      <c r="R105" s="253"/>
      <c r="S105" s="253"/>
      <c r="T105" s="253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</row>
    <row r="106" spans="1:113" s="15" customFormat="1" ht="36" customHeight="1" x14ac:dyDescent="0.2">
      <c r="A106" s="462"/>
      <c r="B106" s="481"/>
      <c r="C106" s="12" t="s">
        <v>21</v>
      </c>
      <c r="D106" s="379" t="s">
        <v>19</v>
      </c>
      <c r="E106" s="13">
        <f>214.47*1.055*1.05</f>
        <v>237.58</v>
      </c>
      <c r="F106" s="14">
        <f t="shared" si="0"/>
        <v>47.52</v>
      </c>
      <c r="G106" s="14">
        <f t="shared" si="1"/>
        <v>285.10000000000002</v>
      </c>
      <c r="H106" s="317"/>
      <c r="I106" s="304">
        <f t="shared" si="2"/>
        <v>42.76</v>
      </c>
      <c r="J106" s="304">
        <f t="shared" si="3"/>
        <v>280.33999999999997</v>
      </c>
      <c r="K106" s="253"/>
      <c r="L106" s="253"/>
      <c r="M106" s="253"/>
      <c r="N106" s="253"/>
      <c r="O106" s="253"/>
      <c r="P106" s="253"/>
      <c r="Q106" s="253"/>
      <c r="R106" s="253"/>
      <c r="S106" s="253"/>
      <c r="T106" s="253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</row>
    <row r="107" spans="1:113" s="15" customFormat="1" ht="47.25" customHeight="1" x14ac:dyDescent="0.2">
      <c r="A107" s="462"/>
      <c r="B107" s="481"/>
      <c r="C107" s="12" t="s">
        <v>22</v>
      </c>
      <c r="D107" s="379" t="s">
        <v>19</v>
      </c>
      <c r="E107" s="13">
        <f>338.07*1.055*1.05</f>
        <v>374.5</v>
      </c>
      <c r="F107" s="14">
        <f t="shared" si="0"/>
        <v>74.900000000000006</v>
      </c>
      <c r="G107" s="14">
        <f t="shared" si="1"/>
        <v>449.4</v>
      </c>
      <c r="H107" s="317"/>
      <c r="I107" s="304">
        <f t="shared" si="2"/>
        <v>67.41</v>
      </c>
      <c r="J107" s="304">
        <f t="shared" si="3"/>
        <v>441.91</v>
      </c>
      <c r="K107" s="253"/>
      <c r="L107" s="253"/>
      <c r="M107" s="253"/>
      <c r="N107" s="253"/>
      <c r="O107" s="253"/>
      <c r="P107" s="253"/>
      <c r="Q107" s="253"/>
      <c r="R107" s="253"/>
      <c r="S107" s="253"/>
      <c r="T107" s="253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</row>
    <row r="108" spans="1:113" s="15" customFormat="1" ht="37.5" customHeight="1" x14ac:dyDescent="0.2">
      <c r="A108" s="462"/>
      <c r="B108" s="481"/>
      <c r="C108" s="12" t="s">
        <v>23</v>
      </c>
      <c r="D108" s="379" t="s">
        <v>19</v>
      </c>
      <c r="E108" s="13">
        <f>168.57*1.055*1.05</f>
        <v>186.73</v>
      </c>
      <c r="F108" s="14">
        <f t="shared" si="0"/>
        <v>37.35</v>
      </c>
      <c r="G108" s="14">
        <f t="shared" si="1"/>
        <v>224.08</v>
      </c>
      <c r="H108" s="317"/>
      <c r="I108" s="304">
        <f t="shared" si="2"/>
        <v>33.61</v>
      </c>
      <c r="J108" s="304">
        <f t="shared" si="3"/>
        <v>220.34</v>
      </c>
      <c r="K108" s="253"/>
      <c r="L108" s="253"/>
      <c r="M108" s="253"/>
      <c r="N108" s="253"/>
      <c r="O108" s="253"/>
      <c r="P108" s="253"/>
      <c r="Q108" s="253"/>
      <c r="R108" s="253"/>
      <c r="S108" s="253"/>
      <c r="T108" s="253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</row>
    <row r="109" spans="1:113" s="15" customFormat="1" ht="39.75" customHeight="1" thickBot="1" x14ac:dyDescent="0.25">
      <c r="A109" s="462"/>
      <c r="B109" s="481"/>
      <c r="C109" s="16" t="s">
        <v>25</v>
      </c>
      <c r="D109" s="379" t="s">
        <v>19</v>
      </c>
      <c r="E109" s="13">
        <f>148.65*1.055*1.05</f>
        <v>164.67</v>
      </c>
      <c r="F109" s="14">
        <f t="shared" si="0"/>
        <v>32.93</v>
      </c>
      <c r="G109" s="14">
        <f t="shared" si="1"/>
        <v>197.6</v>
      </c>
      <c r="H109" s="322"/>
      <c r="I109" s="323">
        <f t="shared" si="2"/>
        <v>29.64</v>
      </c>
      <c r="J109" s="323">
        <f t="shared" si="3"/>
        <v>194.31</v>
      </c>
      <c r="K109" s="324"/>
      <c r="L109" s="324"/>
      <c r="M109" s="324"/>
      <c r="N109" s="253"/>
      <c r="O109" s="253"/>
      <c r="P109" s="253"/>
      <c r="Q109" s="253"/>
      <c r="R109" s="253"/>
      <c r="S109" s="253"/>
      <c r="T109" s="253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</row>
    <row r="110" spans="1:113" s="15" customFormat="1" ht="37.5" customHeight="1" x14ac:dyDescent="0.2">
      <c r="A110" s="462" t="s">
        <v>29</v>
      </c>
      <c r="B110" s="482" t="s">
        <v>30</v>
      </c>
      <c r="C110" s="379" t="s">
        <v>16</v>
      </c>
      <c r="D110" s="12" t="s">
        <v>17</v>
      </c>
      <c r="E110" s="13">
        <f>508.16*1.055*1.05</f>
        <v>562.91</v>
      </c>
      <c r="F110" s="14">
        <f t="shared" si="0"/>
        <v>112.58</v>
      </c>
      <c r="G110" s="14">
        <f t="shared" si="1"/>
        <v>675.49</v>
      </c>
      <c r="H110" s="317"/>
      <c r="I110" s="305">
        <f t="shared" si="2"/>
        <v>101.32</v>
      </c>
      <c r="J110" s="305">
        <f t="shared" si="3"/>
        <v>664.23</v>
      </c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</row>
    <row r="111" spans="1:113" s="15" customFormat="1" ht="17.25" customHeight="1" x14ac:dyDescent="0.2">
      <c r="A111" s="462"/>
      <c r="B111" s="482"/>
      <c r="C111" s="379" t="s">
        <v>28</v>
      </c>
      <c r="D111" s="379" t="s">
        <v>19</v>
      </c>
      <c r="E111" s="13">
        <f>359.88*1.055*1.05</f>
        <v>398.66</v>
      </c>
      <c r="F111" s="14">
        <f t="shared" si="0"/>
        <v>79.73</v>
      </c>
      <c r="G111" s="14">
        <f t="shared" si="1"/>
        <v>478.39</v>
      </c>
      <c r="H111" s="317"/>
      <c r="I111" s="305">
        <f t="shared" si="2"/>
        <v>71.760000000000005</v>
      </c>
      <c r="J111" s="305">
        <f t="shared" si="3"/>
        <v>470.42</v>
      </c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</row>
    <row r="112" spans="1:113" s="15" customFormat="1" ht="33.75" customHeight="1" x14ac:dyDescent="0.2">
      <c r="A112" s="462"/>
      <c r="B112" s="482"/>
      <c r="C112" s="12" t="s">
        <v>21</v>
      </c>
      <c r="D112" s="379" t="s">
        <v>19</v>
      </c>
      <c r="E112" s="13">
        <f>214.47*1.055*1.05</f>
        <v>237.58</v>
      </c>
      <c r="F112" s="14">
        <f t="shared" si="0"/>
        <v>47.52</v>
      </c>
      <c r="G112" s="14">
        <f t="shared" si="1"/>
        <v>285.10000000000002</v>
      </c>
      <c r="H112" s="317"/>
      <c r="I112" s="305">
        <f t="shared" si="2"/>
        <v>42.76</v>
      </c>
      <c r="J112" s="305">
        <f t="shared" si="3"/>
        <v>280.33999999999997</v>
      </c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</row>
    <row r="113" spans="1:113" s="15" customFormat="1" ht="51" customHeight="1" x14ac:dyDescent="0.2">
      <c r="A113" s="462"/>
      <c r="B113" s="482"/>
      <c r="C113" s="12" t="s">
        <v>22</v>
      </c>
      <c r="D113" s="379" t="s">
        <v>19</v>
      </c>
      <c r="E113" s="13">
        <f>338.07*1.055*1.05</f>
        <v>374.5</v>
      </c>
      <c r="F113" s="14">
        <f t="shared" si="0"/>
        <v>74.900000000000006</v>
      </c>
      <c r="G113" s="14">
        <f t="shared" si="1"/>
        <v>449.4</v>
      </c>
      <c r="H113" s="317"/>
      <c r="I113" s="305">
        <f t="shared" si="2"/>
        <v>67.41</v>
      </c>
      <c r="J113" s="305">
        <f t="shared" si="3"/>
        <v>441.91</v>
      </c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</row>
    <row r="114" spans="1:113" s="15" customFormat="1" ht="37.5" customHeight="1" x14ac:dyDescent="0.2">
      <c r="A114" s="462"/>
      <c r="B114" s="482"/>
      <c r="C114" s="12" t="s">
        <v>23</v>
      </c>
      <c r="D114" s="379" t="s">
        <v>19</v>
      </c>
      <c r="E114" s="13">
        <f>168.57*1.055*1.05</f>
        <v>186.73</v>
      </c>
      <c r="F114" s="14">
        <f t="shared" si="0"/>
        <v>37.35</v>
      </c>
      <c r="G114" s="14">
        <f t="shared" si="1"/>
        <v>224.08</v>
      </c>
      <c r="H114" s="317"/>
      <c r="I114" s="305">
        <f t="shared" si="2"/>
        <v>33.61</v>
      </c>
      <c r="J114" s="305">
        <f t="shared" si="3"/>
        <v>220.34</v>
      </c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</row>
    <row r="115" spans="1:113" s="15" customFormat="1" ht="36.75" customHeight="1" x14ac:dyDescent="0.2">
      <c r="A115" s="462"/>
      <c r="B115" s="482"/>
      <c r="C115" s="16" t="s">
        <v>25</v>
      </c>
      <c r="D115" s="379" t="s">
        <v>19</v>
      </c>
      <c r="E115" s="13">
        <f>148.65*1.055*1.05</f>
        <v>164.67</v>
      </c>
      <c r="F115" s="14">
        <f t="shared" si="0"/>
        <v>32.93</v>
      </c>
      <c r="G115" s="14">
        <f t="shared" si="1"/>
        <v>197.6</v>
      </c>
      <c r="H115" s="317"/>
      <c r="I115" s="305">
        <f t="shared" si="2"/>
        <v>29.64</v>
      </c>
      <c r="J115" s="305">
        <f t="shared" si="3"/>
        <v>194.31</v>
      </c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</row>
    <row r="116" spans="1:113" s="15" customFormat="1" ht="37.5" customHeight="1" x14ac:dyDescent="0.2">
      <c r="A116" s="462" t="s">
        <v>31</v>
      </c>
      <c r="B116" s="481" t="s">
        <v>32</v>
      </c>
      <c r="C116" s="379" t="s">
        <v>16</v>
      </c>
      <c r="D116" s="12" t="s">
        <v>17</v>
      </c>
      <c r="E116" s="13">
        <f>710.9*1.055*1.05</f>
        <v>787.5</v>
      </c>
      <c r="F116" s="14">
        <f t="shared" si="0"/>
        <v>157.5</v>
      </c>
      <c r="G116" s="14">
        <f t="shared" si="1"/>
        <v>945</v>
      </c>
      <c r="H116" s="317"/>
      <c r="I116" s="305">
        <f t="shared" si="2"/>
        <v>141.75</v>
      </c>
      <c r="J116" s="305">
        <f t="shared" si="3"/>
        <v>929.25</v>
      </c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305">
        <f>680.29*1.045</f>
        <v>710.9</v>
      </c>
      <c r="BI116" s="305">
        <f>BH116-E116</f>
        <v>-76.599999999999994</v>
      </c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</row>
    <row r="117" spans="1:113" s="15" customFormat="1" ht="17.25" customHeight="1" x14ac:dyDescent="0.2">
      <c r="A117" s="462"/>
      <c r="B117" s="481"/>
      <c r="C117" s="379" t="s">
        <v>28</v>
      </c>
      <c r="D117" s="379" t="s">
        <v>19</v>
      </c>
      <c r="E117" s="13">
        <f>570.17*1.055*1.05</f>
        <v>631.61</v>
      </c>
      <c r="F117" s="14">
        <f t="shared" si="0"/>
        <v>126.32</v>
      </c>
      <c r="G117" s="14">
        <f t="shared" si="1"/>
        <v>757.93</v>
      </c>
      <c r="H117" s="317"/>
      <c r="I117" s="305">
        <f t="shared" si="2"/>
        <v>113.69</v>
      </c>
      <c r="J117" s="305">
        <f t="shared" si="3"/>
        <v>745.3</v>
      </c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</row>
    <row r="118" spans="1:113" s="15" customFormat="1" ht="36" customHeight="1" x14ac:dyDescent="0.2">
      <c r="A118" s="462"/>
      <c r="B118" s="481"/>
      <c r="C118" s="12" t="s">
        <v>21</v>
      </c>
      <c r="D118" s="379" t="s">
        <v>19</v>
      </c>
      <c r="E118" s="13">
        <f>214.47*1.055*1.05</f>
        <v>237.58</v>
      </c>
      <c r="F118" s="14">
        <f t="shared" si="0"/>
        <v>47.52</v>
      </c>
      <c r="G118" s="14">
        <f t="shared" si="1"/>
        <v>285.10000000000002</v>
      </c>
      <c r="H118" s="317"/>
      <c r="I118" s="305">
        <f t="shared" si="2"/>
        <v>42.76</v>
      </c>
      <c r="J118" s="305">
        <f t="shared" si="3"/>
        <v>280.33999999999997</v>
      </c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</row>
    <row r="119" spans="1:113" s="15" customFormat="1" ht="49.5" customHeight="1" x14ac:dyDescent="0.2">
      <c r="A119" s="462"/>
      <c r="B119" s="481"/>
      <c r="C119" s="12" t="s">
        <v>22</v>
      </c>
      <c r="D119" s="379" t="s">
        <v>19</v>
      </c>
      <c r="E119" s="13">
        <f>338.07*1.055*1.05</f>
        <v>374.5</v>
      </c>
      <c r="F119" s="14">
        <f t="shared" si="0"/>
        <v>74.900000000000006</v>
      </c>
      <c r="G119" s="14">
        <f t="shared" si="1"/>
        <v>449.4</v>
      </c>
      <c r="H119" s="317"/>
      <c r="I119" s="305">
        <f t="shared" si="2"/>
        <v>67.41</v>
      </c>
      <c r="J119" s="305">
        <f t="shared" si="3"/>
        <v>441.91</v>
      </c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</row>
    <row r="120" spans="1:113" s="15" customFormat="1" ht="36.75" customHeight="1" x14ac:dyDescent="0.2">
      <c r="A120" s="462"/>
      <c r="B120" s="481"/>
      <c r="C120" s="12" t="s">
        <v>23</v>
      </c>
      <c r="D120" s="379" t="s">
        <v>19</v>
      </c>
      <c r="E120" s="13">
        <f>168.57*1.055*1.05</f>
        <v>186.73</v>
      </c>
      <c r="F120" s="14">
        <f t="shared" si="0"/>
        <v>37.35</v>
      </c>
      <c r="G120" s="14">
        <f t="shared" si="1"/>
        <v>224.08</v>
      </c>
      <c r="H120" s="317"/>
      <c r="I120" s="305">
        <f t="shared" si="2"/>
        <v>33.61</v>
      </c>
      <c r="J120" s="305">
        <f t="shared" si="3"/>
        <v>220.34</v>
      </c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</row>
    <row r="121" spans="1:113" s="15" customFormat="1" ht="40.5" customHeight="1" x14ac:dyDescent="0.2">
      <c r="A121" s="462"/>
      <c r="B121" s="481"/>
      <c r="C121" s="16" t="s">
        <v>25</v>
      </c>
      <c r="D121" s="379" t="s">
        <v>19</v>
      </c>
      <c r="E121" s="13">
        <f>148.65*1.055*1.05</f>
        <v>164.67</v>
      </c>
      <c r="F121" s="14">
        <f t="shared" si="0"/>
        <v>32.93</v>
      </c>
      <c r="G121" s="14">
        <f t="shared" si="1"/>
        <v>197.6</v>
      </c>
      <c r="H121" s="317"/>
      <c r="I121" s="305">
        <f t="shared" si="2"/>
        <v>29.64</v>
      </c>
      <c r="J121" s="305">
        <f t="shared" si="3"/>
        <v>194.31</v>
      </c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</row>
    <row r="122" spans="1:113" s="15" customFormat="1" ht="40.5" customHeight="1" x14ac:dyDescent="0.2">
      <c r="A122" s="462" t="s">
        <v>33</v>
      </c>
      <c r="B122" s="481" t="s">
        <v>34</v>
      </c>
      <c r="C122" s="379" t="s">
        <v>16</v>
      </c>
      <c r="D122" s="12" t="s">
        <v>17</v>
      </c>
      <c r="E122" s="13">
        <f>612.26*1.055*1.05</f>
        <v>678.23</v>
      </c>
      <c r="F122" s="14">
        <f t="shared" si="0"/>
        <v>135.65</v>
      </c>
      <c r="G122" s="14">
        <f t="shared" si="1"/>
        <v>813.88</v>
      </c>
      <c r="H122" s="317"/>
      <c r="I122" s="305">
        <f t="shared" si="2"/>
        <v>122.08</v>
      </c>
      <c r="J122" s="305">
        <f t="shared" si="3"/>
        <v>800.31</v>
      </c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</row>
    <row r="123" spans="1:113" s="15" customFormat="1" ht="18" customHeight="1" x14ac:dyDescent="0.2">
      <c r="A123" s="462"/>
      <c r="B123" s="481"/>
      <c r="C123" s="379" t="s">
        <v>28</v>
      </c>
      <c r="D123" s="379" t="s">
        <v>19</v>
      </c>
      <c r="E123" s="13">
        <f>513.15*1.055*1.05</f>
        <v>568.44000000000005</v>
      </c>
      <c r="F123" s="14">
        <f t="shared" si="0"/>
        <v>113.69</v>
      </c>
      <c r="G123" s="14">
        <f t="shared" si="1"/>
        <v>682.13</v>
      </c>
      <c r="H123" s="317"/>
      <c r="I123" s="305">
        <f t="shared" si="2"/>
        <v>102.32</v>
      </c>
      <c r="J123" s="305">
        <f t="shared" si="3"/>
        <v>670.76</v>
      </c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</row>
    <row r="124" spans="1:113" s="15" customFormat="1" ht="36" customHeight="1" x14ac:dyDescent="0.2">
      <c r="A124" s="462"/>
      <c r="B124" s="481"/>
      <c r="C124" s="12" t="s">
        <v>21</v>
      </c>
      <c r="D124" s="379" t="s">
        <v>19</v>
      </c>
      <c r="E124" s="13">
        <f>214.47*1.055*1.05</f>
        <v>237.58</v>
      </c>
      <c r="F124" s="14">
        <f t="shared" si="0"/>
        <v>47.52</v>
      </c>
      <c r="G124" s="14">
        <f t="shared" si="1"/>
        <v>285.10000000000002</v>
      </c>
      <c r="H124" s="317"/>
      <c r="I124" s="305">
        <f t="shared" si="2"/>
        <v>42.76</v>
      </c>
      <c r="J124" s="305">
        <f t="shared" si="3"/>
        <v>280.33999999999997</v>
      </c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</row>
    <row r="125" spans="1:113" s="15" customFormat="1" ht="51.75" customHeight="1" x14ac:dyDescent="0.2">
      <c r="A125" s="462"/>
      <c r="B125" s="481"/>
      <c r="C125" s="12" t="s">
        <v>22</v>
      </c>
      <c r="D125" s="379" t="s">
        <v>19</v>
      </c>
      <c r="E125" s="13">
        <f>338.07*1.055*1.05</f>
        <v>374.5</v>
      </c>
      <c r="F125" s="14">
        <f t="shared" si="0"/>
        <v>74.900000000000006</v>
      </c>
      <c r="G125" s="14">
        <f t="shared" si="1"/>
        <v>449.4</v>
      </c>
      <c r="H125" s="317"/>
      <c r="I125" s="305">
        <f t="shared" si="2"/>
        <v>67.41</v>
      </c>
      <c r="J125" s="305">
        <f t="shared" si="3"/>
        <v>441.91</v>
      </c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</row>
    <row r="126" spans="1:113" s="15" customFormat="1" ht="39" customHeight="1" x14ac:dyDescent="0.2">
      <c r="A126" s="462"/>
      <c r="B126" s="481"/>
      <c r="C126" s="12" t="s">
        <v>23</v>
      </c>
      <c r="D126" s="379" t="s">
        <v>19</v>
      </c>
      <c r="E126" s="13">
        <f>168.57*1.055*1.05</f>
        <v>186.73</v>
      </c>
      <c r="F126" s="14">
        <f t="shared" si="0"/>
        <v>37.35</v>
      </c>
      <c r="G126" s="14">
        <f t="shared" si="1"/>
        <v>224.08</v>
      </c>
      <c r="H126" s="317"/>
      <c r="I126" s="305">
        <f t="shared" si="2"/>
        <v>33.61</v>
      </c>
      <c r="J126" s="305">
        <f t="shared" si="3"/>
        <v>220.34</v>
      </c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</row>
    <row r="127" spans="1:113" s="15" customFormat="1" ht="39" customHeight="1" x14ac:dyDescent="0.2">
      <c r="A127" s="462"/>
      <c r="B127" s="481"/>
      <c r="C127" s="16" t="s">
        <v>25</v>
      </c>
      <c r="D127" s="379" t="s">
        <v>19</v>
      </c>
      <c r="E127" s="13">
        <f>148.65*1.055*1.05</f>
        <v>164.67</v>
      </c>
      <c r="F127" s="14">
        <f t="shared" si="0"/>
        <v>32.93</v>
      </c>
      <c r="G127" s="14">
        <f t="shared" si="1"/>
        <v>197.6</v>
      </c>
      <c r="H127" s="317"/>
      <c r="I127" s="305">
        <f t="shared" si="2"/>
        <v>29.64</v>
      </c>
      <c r="J127" s="305">
        <f t="shared" si="3"/>
        <v>194.31</v>
      </c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</row>
    <row r="128" spans="1:113" s="15" customFormat="1" ht="38.25" customHeight="1" x14ac:dyDescent="0.2">
      <c r="A128" s="462" t="s">
        <v>35</v>
      </c>
      <c r="B128" s="481" t="s">
        <v>36</v>
      </c>
      <c r="C128" s="379" t="s">
        <v>16</v>
      </c>
      <c r="D128" s="12" t="s">
        <v>17</v>
      </c>
      <c r="E128" s="13">
        <f>646.28*1.055*1.05</f>
        <v>715.92</v>
      </c>
      <c r="F128" s="14">
        <f t="shared" si="0"/>
        <v>143.18</v>
      </c>
      <c r="G128" s="14">
        <f t="shared" si="1"/>
        <v>859.1</v>
      </c>
      <c r="H128" s="317"/>
      <c r="I128" s="305">
        <f t="shared" si="2"/>
        <v>128.87</v>
      </c>
      <c r="J128" s="305">
        <f t="shared" si="3"/>
        <v>844.79</v>
      </c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</row>
    <row r="129" spans="1:113" s="15" customFormat="1" ht="17.25" customHeight="1" x14ac:dyDescent="0.2">
      <c r="A129" s="462"/>
      <c r="B129" s="481"/>
      <c r="C129" s="379" t="s">
        <v>28</v>
      </c>
      <c r="D129" s="379" t="s">
        <v>19</v>
      </c>
      <c r="E129" s="13">
        <f>541.66*1.055*1.05</f>
        <v>600.02</v>
      </c>
      <c r="F129" s="14">
        <f t="shared" si="0"/>
        <v>120</v>
      </c>
      <c r="G129" s="14">
        <f t="shared" si="1"/>
        <v>720.02</v>
      </c>
      <c r="H129" s="317"/>
      <c r="I129" s="305">
        <f t="shared" si="2"/>
        <v>108</v>
      </c>
      <c r="J129" s="305">
        <f t="shared" si="3"/>
        <v>708.02</v>
      </c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</row>
    <row r="130" spans="1:113" s="15" customFormat="1" ht="38.25" customHeight="1" x14ac:dyDescent="0.2">
      <c r="A130" s="462"/>
      <c r="B130" s="481"/>
      <c r="C130" s="12" t="s">
        <v>21</v>
      </c>
      <c r="D130" s="379" t="s">
        <v>19</v>
      </c>
      <c r="E130" s="13">
        <f>214.47*1.055*1.05</f>
        <v>237.58</v>
      </c>
      <c r="F130" s="14">
        <f t="shared" si="0"/>
        <v>47.52</v>
      </c>
      <c r="G130" s="14">
        <f t="shared" si="1"/>
        <v>285.10000000000002</v>
      </c>
      <c r="H130" s="317"/>
      <c r="I130" s="305">
        <f t="shared" si="2"/>
        <v>42.76</v>
      </c>
      <c r="J130" s="305">
        <f t="shared" si="3"/>
        <v>280.33999999999997</v>
      </c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</row>
    <row r="131" spans="1:113" s="15" customFormat="1" ht="48" customHeight="1" x14ac:dyDescent="0.2">
      <c r="A131" s="462"/>
      <c r="B131" s="481"/>
      <c r="C131" s="12" t="s">
        <v>22</v>
      </c>
      <c r="D131" s="379" t="s">
        <v>19</v>
      </c>
      <c r="E131" s="13">
        <f>338.07*1.055*1.05</f>
        <v>374.5</v>
      </c>
      <c r="F131" s="14">
        <f t="shared" si="0"/>
        <v>74.900000000000006</v>
      </c>
      <c r="G131" s="14">
        <f t="shared" si="1"/>
        <v>449.4</v>
      </c>
      <c r="H131" s="317"/>
      <c r="I131" s="305">
        <f t="shared" si="2"/>
        <v>67.41</v>
      </c>
      <c r="J131" s="305">
        <f t="shared" si="3"/>
        <v>441.91</v>
      </c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</row>
    <row r="132" spans="1:113" s="15" customFormat="1" ht="38.25" customHeight="1" x14ac:dyDescent="0.2">
      <c r="A132" s="462"/>
      <c r="B132" s="481"/>
      <c r="C132" s="12" t="s">
        <v>23</v>
      </c>
      <c r="D132" s="379" t="s">
        <v>19</v>
      </c>
      <c r="E132" s="13">
        <f>168.57*1.055*1.05</f>
        <v>186.73</v>
      </c>
      <c r="F132" s="14">
        <f t="shared" si="0"/>
        <v>37.35</v>
      </c>
      <c r="G132" s="14">
        <f t="shared" si="1"/>
        <v>224.08</v>
      </c>
      <c r="H132" s="317"/>
      <c r="I132" s="305">
        <f t="shared" si="2"/>
        <v>33.61</v>
      </c>
      <c r="J132" s="305">
        <f t="shared" si="3"/>
        <v>220.34</v>
      </c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</row>
    <row r="133" spans="1:113" s="15" customFormat="1" ht="38.25" customHeight="1" x14ac:dyDescent="0.2">
      <c r="A133" s="462"/>
      <c r="B133" s="481"/>
      <c r="C133" s="16" t="s">
        <v>25</v>
      </c>
      <c r="D133" s="379" t="s">
        <v>19</v>
      </c>
      <c r="E133" s="13">
        <f>148.65*1.055*1.05</f>
        <v>164.67</v>
      </c>
      <c r="F133" s="14">
        <f t="shared" si="0"/>
        <v>32.93</v>
      </c>
      <c r="G133" s="14">
        <f t="shared" si="1"/>
        <v>197.6</v>
      </c>
      <c r="H133" s="317"/>
      <c r="I133" s="305">
        <f t="shared" si="2"/>
        <v>29.64</v>
      </c>
      <c r="J133" s="305">
        <f t="shared" si="3"/>
        <v>194.31</v>
      </c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</row>
    <row r="134" spans="1:113" s="15" customFormat="1" ht="39" customHeight="1" x14ac:dyDescent="0.2">
      <c r="A134" s="462" t="s">
        <v>37</v>
      </c>
      <c r="B134" s="481" t="s">
        <v>38</v>
      </c>
      <c r="C134" s="379" t="s">
        <v>16</v>
      </c>
      <c r="D134" s="12" t="s">
        <v>17</v>
      </c>
      <c r="E134" s="13">
        <f>1494.56*1.055*1.05</f>
        <v>1655.6</v>
      </c>
      <c r="F134" s="14">
        <f t="shared" si="0"/>
        <v>331.12</v>
      </c>
      <c r="G134" s="14">
        <f t="shared" si="1"/>
        <v>1986.72</v>
      </c>
      <c r="H134" s="317"/>
      <c r="I134" s="305">
        <f t="shared" si="2"/>
        <v>298.01</v>
      </c>
      <c r="J134" s="305">
        <f t="shared" si="3"/>
        <v>1953.61</v>
      </c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</row>
    <row r="135" spans="1:113" s="15" customFormat="1" ht="17.25" customHeight="1" x14ac:dyDescent="0.2">
      <c r="A135" s="462"/>
      <c r="B135" s="481"/>
      <c r="C135" s="379" t="s">
        <v>28</v>
      </c>
      <c r="D135" s="379" t="s">
        <v>19</v>
      </c>
      <c r="E135" s="13">
        <f>1090*1.055*1.05</f>
        <v>1207.45</v>
      </c>
      <c r="F135" s="14">
        <f t="shared" si="0"/>
        <v>241.49</v>
      </c>
      <c r="G135" s="14">
        <f t="shared" si="1"/>
        <v>1448.94</v>
      </c>
      <c r="H135" s="317"/>
      <c r="I135" s="305">
        <f t="shared" si="2"/>
        <v>217.34</v>
      </c>
      <c r="J135" s="305">
        <f t="shared" si="3"/>
        <v>1424.79</v>
      </c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</row>
    <row r="136" spans="1:113" s="15" customFormat="1" ht="42" customHeight="1" x14ac:dyDescent="0.2">
      <c r="A136" s="462"/>
      <c r="B136" s="481"/>
      <c r="C136" s="12" t="s">
        <v>21</v>
      </c>
      <c r="D136" s="379" t="s">
        <v>19</v>
      </c>
      <c r="E136" s="13">
        <f>214.47*1.055*1.05</f>
        <v>237.58</v>
      </c>
      <c r="F136" s="14">
        <f t="shared" si="0"/>
        <v>47.52</v>
      </c>
      <c r="G136" s="14">
        <f t="shared" si="1"/>
        <v>285.10000000000002</v>
      </c>
      <c r="H136" s="317"/>
      <c r="I136" s="305">
        <f t="shared" si="2"/>
        <v>42.76</v>
      </c>
      <c r="J136" s="305">
        <f t="shared" si="3"/>
        <v>280.33999999999997</v>
      </c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</row>
    <row r="137" spans="1:113" s="15" customFormat="1" ht="48" customHeight="1" x14ac:dyDescent="0.2">
      <c r="A137" s="462"/>
      <c r="B137" s="481"/>
      <c r="C137" s="12" t="s">
        <v>22</v>
      </c>
      <c r="D137" s="379" t="s">
        <v>19</v>
      </c>
      <c r="E137" s="13">
        <f>608.52*1.055*1.05</f>
        <v>674.09</v>
      </c>
      <c r="F137" s="14">
        <f t="shared" si="0"/>
        <v>134.82</v>
      </c>
      <c r="G137" s="14">
        <f t="shared" si="1"/>
        <v>808.91</v>
      </c>
      <c r="H137" s="317"/>
      <c r="I137" s="305">
        <f t="shared" si="2"/>
        <v>121.34</v>
      </c>
      <c r="J137" s="305">
        <f t="shared" si="3"/>
        <v>795.43</v>
      </c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</row>
    <row r="138" spans="1:113" s="15" customFormat="1" ht="38.25" customHeight="1" x14ac:dyDescent="0.2">
      <c r="A138" s="462"/>
      <c r="B138" s="481"/>
      <c r="C138" s="16" t="s">
        <v>25</v>
      </c>
      <c r="D138" s="379" t="s">
        <v>19</v>
      </c>
      <c r="E138" s="13">
        <f>148.65*1.055*1.05</f>
        <v>164.67</v>
      </c>
      <c r="F138" s="14">
        <f t="shared" si="0"/>
        <v>32.93</v>
      </c>
      <c r="G138" s="14">
        <f t="shared" si="1"/>
        <v>197.6</v>
      </c>
      <c r="H138" s="317"/>
      <c r="I138" s="305">
        <f t="shared" si="2"/>
        <v>29.64</v>
      </c>
      <c r="J138" s="305">
        <f t="shared" si="3"/>
        <v>194.31</v>
      </c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</row>
    <row r="139" spans="1:113" s="15" customFormat="1" ht="39.75" customHeight="1" x14ac:dyDescent="0.2">
      <c r="A139" s="462" t="s">
        <v>39</v>
      </c>
      <c r="B139" s="481" t="s">
        <v>40</v>
      </c>
      <c r="C139" s="379" t="s">
        <v>16</v>
      </c>
      <c r="D139" s="12" t="s">
        <v>17</v>
      </c>
      <c r="E139" s="13">
        <f>1002.55*1.055*1.05</f>
        <v>1110.57</v>
      </c>
      <c r="F139" s="14">
        <f t="shared" si="0"/>
        <v>222.11</v>
      </c>
      <c r="G139" s="14">
        <f t="shared" si="1"/>
        <v>1332.68</v>
      </c>
      <c r="H139" s="317"/>
      <c r="I139" s="305">
        <f t="shared" si="2"/>
        <v>199.9</v>
      </c>
      <c r="J139" s="305">
        <f t="shared" si="3"/>
        <v>1310.47</v>
      </c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</row>
    <row r="140" spans="1:113" s="15" customFormat="1" ht="15.6" customHeight="1" x14ac:dyDescent="0.2">
      <c r="A140" s="462"/>
      <c r="B140" s="481"/>
      <c r="C140" s="379" t="s">
        <v>28</v>
      </c>
      <c r="D140" s="379" t="s">
        <v>19</v>
      </c>
      <c r="E140" s="13">
        <f>727.62*1.055*1.05</f>
        <v>806.02</v>
      </c>
      <c r="F140" s="14">
        <f t="shared" si="0"/>
        <v>161.19999999999999</v>
      </c>
      <c r="G140" s="14">
        <f t="shared" si="1"/>
        <v>967.22</v>
      </c>
      <c r="H140" s="317"/>
      <c r="I140" s="305">
        <f t="shared" si="2"/>
        <v>145.08000000000001</v>
      </c>
      <c r="J140" s="305">
        <f t="shared" si="3"/>
        <v>951.1</v>
      </c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</row>
    <row r="141" spans="1:113" s="15" customFormat="1" ht="38.25" customHeight="1" x14ac:dyDescent="0.2">
      <c r="A141" s="462"/>
      <c r="B141" s="481"/>
      <c r="C141" s="12" t="s">
        <v>21</v>
      </c>
      <c r="D141" s="379" t="s">
        <v>19</v>
      </c>
      <c r="E141" s="13">
        <f>214.47*1.055*1.05</f>
        <v>237.58</v>
      </c>
      <c r="F141" s="14">
        <f t="shared" si="0"/>
        <v>47.52</v>
      </c>
      <c r="G141" s="14">
        <f t="shared" si="1"/>
        <v>285.10000000000002</v>
      </c>
      <c r="H141" s="317"/>
      <c r="I141" s="305">
        <f t="shared" si="2"/>
        <v>42.76</v>
      </c>
      <c r="J141" s="305">
        <f t="shared" si="3"/>
        <v>280.33999999999997</v>
      </c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</row>
    <row r="142" spans="1:113" s="15" customFormat="1" ht="48" customHeight="1" x14ac:dyDescent="0.2">
      <c r="A142" s="462"/>
      <c r="B142" s="481"/>
      <c r="C142" s="12" t="s">
        <v>22</v>
      </c>
      <c r="D142" s="379" t="s">
        <v>19</v>
      </c>
      <c r="E142" s="13">
        <f>608.52*1.055*1.05</f>
        <v>674.09</v>
      </c>
      <c r="F142" s="14">
        <f t="shared" si="0"/>
        <v>134.82</v>
      </c>
      <c r="G142" s="14">
        <f t="shared" si="1"/>
        <v>808.91</v>
      </c>
      <c r="H142" s="317"/>
      <c r="I142" s="305">
        <f t="shared" si="2"/>
        <v>121.34</v>
      </c>
      <c r="J142" s="305">
        <f t="shared" si="3"/>
        <v>795.43</v>
      </c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</row>
    <row r="143" spans="1:113" s="15" customFormat="1" ht="36.75" customHeight="1" x14ac:dyDescent="0.2">
      <c r="A143" s="462"/>
      <c r="B143" s="481"/>
      <c r="C143" s="12" t="s">
        <v>23</v>
      </c>
      <c r="D143" s="379" t="s">
        <v>19</v>
      </c>
      <c r="E143" s="13">
        <f>168.57*1.055*1.05</f>
        <v>186.73</v>
      </c>
      <c r="F143" s="14">
        <f t="shared" si="0"/>
        <v>37.35</v>
      </c>
      <c r="G143" s="14">
        <f t="shared" si="1"/>
        <v>224.08</v>
      </c>
      <c r="H143" s="317"/>
      <c r="I143" s="305">
        <f t="shared" si="2"/>
        <v>33.61</v>
      </c>
      <c r="J143" s="305">
        <f t="shared" si="3"/>
        <v>220.34</v>
      </c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</row>
    <row r="144" spans="1:113" s="15" customFormat="1" ht="42" customHeight="1" x14ac:dyDescent="0.2">
      <c r="A144" s="462"/>
      <c r="B144" s="481"/>
      <c r="C144" s="16" t="s">
        <v>25</v>
      </c>
      <c r="D144" s="379" t="s">
        <v>19</v>
      </c>
      <c r="E144" s="13">
        <f>148.65*1.055*1.05</f>
        <v>164.67</v>
      </c>
      <c r="F144" s="14">
        <f t="shared" si="0"/>
        <v>32.93</v>
      </c>
      <c r="G144" s="14">
        <f t="shared" si="1"/>
        <v>197.6</v>
      </c>
      <c r="H144" s="317"/>
      <c r="I144" s="305">
        <f t="shared" si="2"/>
        <v>29.64</v>
      </c>
      <c r="J144" s="305">
        <f t="shared" si="3"/>
        <v>194.31</v>
      </c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</row>
    <row r="145" spans="1:113" s="15" customFormat="1" ht="40.5" customHeight="1" x14ac:dyDescent="0.2">
      <c r="A145" s="462" t="s">
        <v>41</v>
      </c>
      <c r="B145" s="481" t="s">
        <v>42</v>
      </c>
      <c r="C145" s="379" t="s">
        <v>16</v>
      </c>
      <c r="D145" s="12" t="s">
        <v>17</v>
      </c>
      <c r="E145" s="13">
        <f>743.53*1.055*1.05</f>
        <v>823.65</v>
      </c>
      <c r="F145" s="14">
        <f t="shared" si="0"/>
        <v>164.73</v>
      </c>
      <c r="G145" s="14">
        <f t="shared" si="1"/>
        <v>988.38</v>
      </c>
      <c r="H145" s="317"/>
      <c r="I145" s="305">
        <f t="shared" si="2"/>
        <v>148.26</v>
      </c>
      <c r="J145" s="305">
        <f t="shared" si="3"/>
        <v>971.91</v>
      </c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</row>
    <row r="146" spans="1:113" s="15" customFormat="1" ht="33.75" customHeight="1" x14ac:dyDescent="0.2">
      <c r="A146" s="462"/>
      <c r="B146" s="481"/>
      <c r="C146" s="379" t="s">
        <v>43</v>
      </c>
      <c r="D146" s="379" t="s">
        <v>19</v>
      </c>
      <c r="E146" s="13">
        <f>440.48*1.055*1.05</f>
        <v>487.94</v>
      </c>
      <c r="F146" s="14">
        <f t="shared" si="0"/>
        <v>97.59</v>
      </c>
      <c r="G146" s="14">
        <f t="shared" si="1"/>
        <v>585.53</v>
      </c>
      <c r="H146" s="317"/>
      <c r="I146" s="305">
        <f t="shared" si="2"/>
        <v>87.83</v>
      </c>
      <c r="J146" s="305">
        <f t="shared" si="3"/>
        <v>575.77</v>
      </c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</row>
    <row r="147" spans="1:113" s="15" customFormat="1" ht="41.25" customHeight="1" x14ac:dyDescent="0.2">
      <c r="A147" s="462"/>
      <c r="B147" s="481"/>
      <c r="C147" s="12" t="s">
        <v>21</v>
      </c>
      <c r="D147" s="379" t="s">
        <v>19</v>
      </c>
      <c r="E147" s="13">
        <f>214.47*1.055*1.05</f>
        <v>237.58</v>
      </c>
      <c r="F147" s="14">
        <f t="shared" si="0"/>
        <v>47.52</v>
      </c>
      <c r="G147" s="14">
        <f t="shared" si="1"/>
        <v>285.10000000000002</v>
      </c>
      <c r="H147" s="317"/>
      <c r="I147" s="305">
        <f t="shared" si="2"/>
        <v>42.76</v>
      </c>
      <c r="J147" s="305">
        <f t="shared" si="3"/>
        <v>280.33999999999997</v>
      </c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</row>
    <row r="148" spans="1:113" s="15" customFormat="1" ht="49.5" customHeight="1" x14ac:dyDescent="0.2">
      <c r="A148" s="462"/>
      <c r="B148" s="481"/>
      <c r="C148" s="12" t="s">
        <v>22</v>
      </c>
      <c r="D148" s="379" t="s">
        <v>19</v>
      </c>
      <c r="E148" s="13">
        <f>371.88*1.055*1.05</f>
        <v>411.95</v>
      </c>
      <c r="F148" s="14">
        <f t="shared" si="0"/>
        <v>82.39</v>
      </c>
      <c r="G148" s="14">
        <f t="shared" si="1"/>
        <v>494.34</v>
      </c>
      <c r="H148" s="317"/>
      <c r="I148" s="305">
        <f t="shared" si="2"/>
        <v>74.150000000000006</v>
      </c>
      <c r="J148" s="305">
        <f t="shared" si="3"/>
        <v>486.1</v>
      </c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</row>
    <row r="149" spans="1:113" s="15" customFormat="1" ht="36.75" customHeight="1" x14ac:dyDescent="0.2">
      <c r="A149" s="462"/>
      <c r="B149" s="481"/>
      <c r="C149" s="16" t="s">
        <v>25</v>
      </c>
      <c r="D149" s="379" t="s">
        <v>19</v>
      </c>
      <c r="E149" s="13">
        <f>148.65*1.055*1.05</f>
        <v>164.67</v>
      </c>
      <c r="F149" s="14">
        <f t="shared" si="0"/>
        <v>32.93</v>
      </c>
      <c r="G149" s="14">
        <f t="shared" si="1"/>
        <v>197.6</v>
      </c>
      <c r="H149" s="317"/>
      <c r="I149" s="305">
        <f t="shared" si="2"/>
        <v>29.64</v>
      </c>
      <c r="J149" s="305">
        <f t="shared" si="3"/>
        <v>194.31</v>
      </c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</row>
    <row r="150" spans="1:113" s="15" customFormat="1" ht="39" customHeight="1" x14ac:dyDescent="0.2">
      <c r="A150" s="462" t="s">
        <v>44</v>
      </c>
      <c r="B150" s="481" t="s">
        <v>45</v>
      </c>
      <c r="C150" s="379" t="s">
        <v>16</v>
      </c>
      <c r="D150" s="12" t="s">
        <v>17</v>
      </c>
      <c r="E150" s="13">
        <f>751.02*1.055*1.05</f>
        <v>831.94</v>
      </c>
      <c r="F150" s="14">
        <f t="shared" si="0"/>
        <v>166.39</v>
      </c>
      <c r="G150" s="14">
        <f t="shared" si="1"/>
        <v>998.33</v>
      </c>
      <c r="H150" s="317"/>
      <c r="I150" s="305">
        <f t="shared" si="2"/>
        <v>149.75</v>
      </c>
      <c r="J150" s="305">
        <f t="shared" si="3"/>
        <v>981.69</v>
      </c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</row>
    <row r="151" spans="1:113" s="15" customFormat="1" ht="36" customHeight="1" x14ac:dyDescent="0.2">
      <c r="A151" s="462"/>
      <c r="B151" s="481"/>
      <c r="C151" s="379" t="s">
        <v>43</v>
      </c>
      <c r="D151" s="379" t="s">
        <v>19</v>
      </c>
      <c r="E151" s="13">
        <f>440.48*1.055*1.05</f>
        <v>487.94</v>
      </c>
      <c r="F151" s="14">
        <f t="shared" si="0"/>
        <v>97.59</v>
      </c>
      <c r="G151" s="14">
        <f t="shared" si="1"/>
        <v>585.53</v>
      </c>
      <c r="H151" s="317"/>
      <c r="I151" s="305">
        <f t="shared" si="2"/>
        <v>87.83</v>
      </c>
      <c r="J151" s="305">
        <f t="shared" si="3"/>
        <v>575.77</v>
      </c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</row>
    <row r="152" spans="1:113" s="15" customFormat="1" ht="39.75" customHeight="1" x14ac:dyDescent="0.2">
      <c r="A152" s="462"/>
      <c r="B152" s="481"/>
      <c r="C152" s="12" t="s">
        <v>21</v>
      </c>
      <c r="D152" s="379" t="s">
        <v>19</v>
      </c>
      <c r="E152" s="13">
        <f>214.47*1.055*1.05</f>
        <v>237.58</v>
      </c>
      <c r="F152" s="14">
        <f t="shared" si="0"/>
        <v>47.52</v>
      </c>
      <c r="G152" s="14">
        <f t="shared" si="1"/>
        <v>285.10000000000002</v>
      </c>
      <c r="H152" s="317"/>
      <c r="I152" s="305">
        <f t="shared" si="2"/>
        <v>42.76</v>
      </c>
      <c r="J152" s="305">
        <f t="shared" si="3"/>
        <v>280.33999999999997</v>
      </c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</row>
    <row r="153" spans="1:113" s="15" customFormat="1" ht="51" customHeight="1" x14ac:dyDescent="0.2">
      <c r="A153" s="462"/>
      <c r="B153" s="481"/>
      <c r="C153" s="12" t="s">
        <v>22</v>
      </c>
      <c r="D153" s="379" t="s">
        <v>19</v>
      </c>
      <c r="E153" s="13">
        <f>371.88*1.055*1.05</f>
        <v>411.95</v>
      </c>
      <c r="F153" s="14">
        <f t="shared" si="0"/>
        <v>82.39</v>
      </c>
      <c r="G153" s="14">
        <f t="shared" si="1"/>
        <v>494.34</v>
      </c>
      <c r="H153" s="317"/>
      <c r="I153" s="305">
        <f t="shared" si="2"/>
        <v>74.150000000000006</v>
      </c>
      <c r="J153" s="305">
        <f t="shared" si="3"/>
        <v>486.1</v>
      </c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</row>
    <row r="154" spans="1:113" s="15" customFormat="1" ht="38.25" customHeight="1" thickBot="1" x14ac:dyDescent="0.25">
      <c r="A154" s="462"/>
      <c r="B154" s="481"/>
      <c r="C154" s="16" t="s">
        <v>25</v>
      </c>
      <c r="D154" s="379" t="s">
        <v>19</v>
      </c>
      <c r="E154" s="13">
        <f>148.65*1.055*1.05</f>
        <v>164.67</v>
      </c>
      <c r="F154" s="14">
        <f t="shared" si="0"/>
        <v>32.93</v>
      </c>
      <c r="G154" s="14">
        <f t="shared" si="1"/>
        <v>197.6</v>
      </c>
      <c r="H154" s="317"/>
      <c r="I154" s="305">
        <f t="shared" si="2"/>
        <v>29.64</v>
      </c>
      <c r="J154" s="305">
        <f t="shared" si="3"/>
        <v>194.31</v>
      </c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</row>
    <row r="155" spans="1:113" s="15" customFormat="1" ht="39" customHeight="1" x14ac:dyDescent="0.2">
      <c r="A155" s="462" t="s">
        <v>46</v>
      </c>
      <c r="B155" s="481" t="s">
        <v>47</v>
      </c>
      <c r="C155" s="379" t="s">
        <v>16</v>
      </c>
      <c r="D155" s="12" t="s">
        <v>17</v>
      </c>
      <c r="E155" s="13">
        <f>1216.28*1.055*1.05</f>
        <v>1347.33</v>
      </c>
      <c r="F155" s="14">
        <f t="shared" si="0"/>
        <v>269.47000000000003</v>
      </c>
      <c r="G155" s="14">
        <f t="shared" si="1"/>
        <v>1616.8</v>
      </c>
      <c r="H155" s="316"/>
      <c r="I155" s="320">
        <f t="shared" si="2"/>
        <v>242.52</v>
      </c>
      <c r="J155" s="320">
        <f t="shared" si="3"/>
        <v>1589.85</v>
      </c>
      <c r="K155" s="321"/>
      <c r="L155" s="321"/>
      <c r="M155" s="321"/>
      <c r="N155" s="321"/>
      <c r="O155" s="321"/>
      <c r="P155" s="321"/>
      <c r="Q155" s="321"/>
      <c r="R155" s="321"/>
      <c r="S155" s="316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</row>
    <row r="156" spans="1:113" s="15" customFormat="1" ht="17.25" customHeight="1" x14ac:dyDescent="0.2">
      <c r="A156" s="462"/>
      <c r="B156" s="481"/>
      <c r="C156" s="379" t="s">
        <v>28</v>
      </c>
      <c r="D156" s="379" t="s">
        <v>19</v>
      </c>
      <c r="E156" s="13">
        <f>668.17*1.055*1.05</f>
        <v>740.17</v>
      </c>
      <c r="F156" s="14">
        <f t="shared" si="0"/>
        <v>148.03</v>
      </c>
      <c r="G156" s="14">
        <f t="shared" si="1"/>
        <v>888.2</v>
      </c>
      <c r="H156" s="317"/>
      <c r="I156" s="304">
        <f t="shared" si="2"/>
        <v>133.22999999999999</v>
      </c>
      <c r="J156" s="304">
        <f t="shared" si="3"/>
        <v>873.4</v>
      </c>
      <c r="K156" s="253"/>
      <c r="L156" s="253"/>
      <c r="M156" s="253"/>
      <c r="N156" s="253"/>
      <c r="O156" s="253"/>
      <c r="P156" s="253"/>
      <c r="Q156" s="253"/>
      <c r="R156" s="253"/>
      <c r="S156" s="317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</row>
    <row r="157" spans="1:113" s="15" customFormat="1" ht="36.75" customHeight="1" x14ac:dyDescent="0.2">
      <c r="A157" s="462"/>
      <c r="B157" s="481"/>
      <c r="C157" s="12" t="s">
        <v>21</v>
      </c>
      <c r="D157" s="379" t="s">
        <v>19</v>
      </c>
      <c r="E157" s="13">
        <f>214.47*1.055*1.05</f>
        <v>237.58</v>
      </c>
      <c r="F157" s="14">
        <f t="shared" si="0"/>
        <v>47.52</v>
      </c>
      <c r="G157" s="14">
        <f t="shared" si="1"/>
        <v>285.10000000000002</v>
      </c>
      <c r="H157" s="317"/>
      <c r="I157" s="304">
        <f t="shared" si="2"/>
        <v>42.76</v>
      </c>
      <c r="J157" s="304">
        <f t="shared" si="3"/>
        <v>280.33999999999997</v>
      </c>
      <c r="K157" s="253"/>
      <c r="L157" s="253"/>
      <c r="M157" s="253"/>
      <c r="N157" s="253"/>
      <c r="O157" s="253"/>
      <c r="P157" s="253"/>
      <c r="Q157" s="253"/>
      <c r="R157" s="253"/>
      <c r="S157" s="317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1:113" s="15" customFormat="1" ht="51" customHeight="1" x14ac:dyDescent="0.2">
      <c r="A158" s="462"/>
      <c r="B158" s="481"/>
      <c r="C158" s="12" t="s">
        <v>22</v>
      </c>
      <c r="D158" s="379" t="s">
        <v>19</v>
      </c>
      <c r="E158" s="13">
        <f>942.4*1.055*1.05</f>
        <v>1043.94</v>
      </c>
      <c r="F158" s="14">
        <f t="shared" si="0"/>
        <v>208.79</v>
      </c>
      <c r="G158" s="14">
        <f t="shared" si="1"/>
        <v>1252.73</v>
      </c>
      <c r="H158" s="317"/>
      <c r="I158" s="304">
        <f t="shared" si="2"/>
        <v>187.91</v>
      </c>
      <c r="J158" s="304">
        <f t="shared" si="3"/>
        <v>1231.8499999999999</v>
      </c>
      <c r="K158" s="253"/>
      <c r="L158" s="253"/>
      <c r="M158" s="253"/>
      <c r="N158" s="253"/>
      <c r="O158" s="253"/>
      <c r="P158" s="253"/>
      <c r="Q158" s="253"/>
      <c r="R158" s="253"/>
      <c r="S158" s="317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1:113" s="15" customFormat="1" ht="42.75" customHeight="1" thickBot="1" x14ac:dyDescent="0.25">
      <c r="A159" s="462"/>
      <c r="B159" s="481"/>
      <c r="C159" s="16" t="s">
        <v>25</v>
      </c>
      <c r="D159" s="379" t="s">
        <v>19</v>
      </c>
      <c r="E159" s="13">
        <f>148.65*1.055*1.05</f>
        <v>164.67</v>
      </c>
      <c r="F159" s="14">
        <f t="shared" si="0"/>
        <v>32.93</v>
      </c>
      <c r="G159" s="14">
        <f t="shared" si="1"/>
        <v>197.6</v>
      </c>
      <c r="H159" s="322"/>
      <c r="I159" s="323">
        <f t="shared" si="2"/>
        <v>29.64</v>
      </c>
      <c r="J159" s="323">
        <f t="shared" si="3"/>
        <v>194.31</v>
      </c>
      <c r="K159" s="324"/>
      <c r="L159" s="324"/>
      <c r="M159" s="324"/>
      <c r="N159" s="324"/>
      <c r="O159" s="324"/>
      <c r="P159" s="324"/>
      <c r="Q159" s="324"/>
      <c r="R159" s="324"/>
      <c r="S159" s="32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1:113" s="15" customFormat="1" ht="39" customHeight="1" x14ac:dyDescent="0.2">
      <c r="A160" s="462" t="s">
        <v>48</v>
      </c>
      <c r="B160" s="481" t="s">
        <v>49</v>
      </c>
      <c r="C160" s="379" t="s">
        <v>16</v>
      </c>
      <c r="D160" s="12" t="s">
        <v>17</v>
      </c>
      <c r="E160" s="13">
        <f>653.63*1.055*1.05</f>
        <v>724.06</v>
      </c>
      <c r="F160" s="14">
        <f t="shared" si="0"/>
        <v>144.81</v>
      </c>
      <c r="G160" s="14">
        <f t="shared" si="1"/>
        <v>868.87</v>
      </c>
      <c r="H160" s="317"/>
      <c r="I160" s="305">
        <f t="shared" si="2"/>
        <v>130.33000000000001</v>
      </c>
      <c r="J160" s="305">
        <f t="shared" si="3"/>
        <v>854.39</v>
      </c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1:113" s="15" customFormat="1" ht="15" customHeight="1" x14ac:dyDescent="0.2">
      <c r="A161" s="462"/>
      <c r="B161" s="481"/>
      <c r="C161" s="379" t="s">
        <v>28</v>
      </c>
      <c r="D161" s="379" t="s">
        <v>19</v>
      </c>
      <c r="E161" s="13">
        <f>541.66*1.055*1.05</f>
        <v>600.02</v>
      </c>
      <c r="F161" s="14">
        <f t="shared" si="0"/>
        <v>120</v>
      </c>
      <c r="G161" s="14">
        <f t="shared" si="1"/>
        <v>720.02</v>
      </c>
      <c r="H161" s="317"/>
      <c r="I161" s="305">
        <f t="shared" si="2"/>
        <v>108</v>
      </c>
      <c r="J161" s="305">
        <f t="shared" si="3"/>
        <v>708.02</v>
      </c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1:113" s="15" customFormat="1" ht="36.75" customHeight="1" x14ac:dyDescent="0.2">
      <c r="A162" s="462"/>
      <c r="B162" s="481"/>
      <c r="C162" s="12" t="s">
        <v>21</v>
      </c>
      <c r="D162" s="379" t="s">
        <v>19</v>
      </c>
      <c r="E162" s="13">
        <f>214.47*1.055*1.05</f>
        <v>237.58</v>
      </c>
      <c r="F162" s="14">
        <f t="shared" si="0"/>
        <v>47.52</v>
      </c>
      <c r="G162" s="14">
        <f t="shared" si="1"/>
        <v>285.10000000000002</v>
      </c>
      <c r="H162" s="317"/>
      <c r="I162" s="305">
        <f t="shared" si="2"/>
        <v>42.76</v>
      </c>
      <c r="J162" s="305">
        <f t="shared" si="3"/>
        <v>280.33999999999997</v>
      </c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1:113" s="15" customFormat="1" ht="48.75" customHeight="1" x14ac:dyDescent="0.2">
      <c r="A163" s="462"/>
      <c r="B163" s="481"/>
      <c r="C163" s="12" t="s">
        <v>22</v>
      </c>
      <c r="D163" s="379" t="s">
        <v>19</v>
      </c>
      <c r="E163" s="13">
        <f>446.26*1.055*1.05</f>
        <v>494.34</v>
      </c>
      <c r="F163" s="14">
        <f t="shared" ref="F163:F221" si="4">E163*20%</f>
        <v>98.87</v>
      </c>
      <c r="G163" s="14">
        <f t="shared" ref="G163:G218" si="5">E163+F163</f>
        <v>593.21</v>
      </c>
      <c r="H163" s="317"/>
      <c r="I163" s="305">
        <f t="shared" ref="I163:I186" si="6">E163*18%</f>
        <v>88.98</v>
      </c>
      <c r="J163" s="305">
        <f t="shared" ref="J163:J186" si="7">E163*1.18</f>
        <v>583.32000000000005</v>
      </c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1:113" s="15" customFormat="1" ht="38.25" customHeight="1" x14ac:dyDescent="0.2">
      <c r="A164" s="462"/>
      <c r="B164" s="481"/>
      <c r="C164" s="16" t="s">
        <v>25</v>
      </c>
      <c r="D164" s="379" t="s">
        <v>19</v>
      </c>
      <c r="E164" s="13">
        <f>148.65*1.055*1.05</f>
        <v>164.67</v>
      </c>
      <c r="F164" s="14">
        <f t="shared" si="4"/>
        <v>32.93</v>
      </c>
      <c r="G164" s="14">
        <f t="shared" si="5"/>
        <v>197.6</v>
      </c>
      <c r="H164" s="317"/>
      <c r="I164" s="305">
        <f t="shared" si="6"/>
        <v>29.64</v>
      </c>
      <c r="J164" s="305">
        <f t="shared" si="7"/>
        <v>194.31</v>
      </c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1:113" s="15" customFormat="1" ht="39" customHeight="1" x14ac:dyDescent="0.2">
      <c r="A165" s="462" t="s">
        <v>50</v>
      </c>
      <c r="B165" s="481" t="s">
        <v>51</v>
      </c>
      <c r="C165" s="379" t="s">
        <v>16</v>
      </c>
      <c r="D165" s="12" t="s">
        <v>17</v>
      </c>
      <c r="E165" s="13">
        <f>737.92*1.055*1.05</f>
        <v>817.43</v>
      </c>
      <c r="F165" s="14">
        <f t="shared" si="4"/>
        <v>163.49</v>
      </c>
      <c r="G165" s="14">
        <f t="shared" si="5"/>
        <v>980.92</v>
      </c>
      <c r="H165" s="317"/>
      <c r="I165" s="305">
        <f t="shared" si="6"/>
        <v>147.13999999999999</v>
      </c>
      <c r="J165" s="305">
        <f t="shared" si="7"/>
        <v>964.57</v>
      </c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1:113" s="15" customFormat="1" ht="17.25" customHeight="1" x14ac:dyDescent="0.2">
      <c r="A166" s="462"/>
      <c r="B166" s="481"/>
      <c r="C166" s="379" t="s">
        <v>28</v>
      </c>
      <c r="D166" s="379" t="s">
        <v>19</v>
      </c>
      <c r="E166" s="13">
        <f>595.83*1.055*1.05</f>
        <v>660.03</v>
      </c>
      <c r="F166" s="14">
        <f t="shared" si="4"/>
        <v>132.01</v>
      </c>
      <c r="G166" s="14">
        <f t="shared" si="5"/>
        <v>792.04</v>
      </c>
      <c r="H166" s="317"/>
      <c r="I166" s="305">
        <f t="shared" si="6"/>
        <v>118.81</v>
      </c>
      <c r="J166" s="305">
        <f t="shared" si="7"/>
        <v>778.84</v>
      </c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1:113" s="15" customFormat="1" ht="39" customHeight="1" x14ac:dyDescent="0.2">
      <c r="A167" s="462"/>
      <c r="B167" s="481"/>
      <c r="C167" s="12" t="s">
        <v>21</v>
      </c>
      <c r="D167" s="379" t="s">
        <v>19</v>
      </c>
      <c r="E167" s="13">
        <f>214.47*1.055*1.05</f>
        <v>237.58</v>
      </c>
      <c r="F167" s="14">
        <f t="shared" si="4"/>
        <v>47.52</v>
      </c>
      <c r="G167" s="14">
        <f t="shared" si="5"/>
        <v>285.10000000000002</v>
      </c>
      <c r="H167" s="317"/>
      <c r="I167" s="305">
        <f t="shared" si="6"/>
        <v>42.76</v>
      </c>
      <c r="J167" s="305">
        <f t="shared" si="7"/>
        <v>280.33999999999997</v>
      </c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1:113" s="15" customFormat="1" ht="55.5" customHeight="1" x14ac:dyDescent="0.2">
      <c r="A168" s="462"/>
      <c r="B168" s="481"/>
      <c r="C168" s="12" t="s">
        <v>22</v>
      </c>
      <c r="D168" s="379" t="s">
        <v>19</v>
      </c>
      <c r="E168" s="13">
        <f>449.98*1.055*1.05</f>
        <v>498.47</v>
      </c>
      <c r="F168" s="14">
        <f t="shared" si="4"/>
        <v>99.69</v>
      </c>
      <c r="G168" s="14">
        <f t="shared" si="5"/>
        <v>598.16</v>
      </c>
      <c r="H168" s="317"/>
      <c r="I168" s="305">
        <f t="shared" si="6"/>
        <v>89.72</v>
      </c>
      <c r="J168" s="305">
        <f t="shared" si="7"/>
        <v>588.19000000000005</v>
      </c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1:113" s="15" customFormat="1" ht="39" customHeight="1" x14ac:dyDescent="0.2">
      <c r="A169" s="462" t="s">
        <v>52</v>
      </c>
      <c r="B169" s="481" t="s">
        <v>53</v>
      </c>
      <c r="C169" s="379" t="s">
        <v>16</v>
      </c>
      <c r="D169" s="12" t="s">
        <v>17</v>
      </c>
      <c r="E169" s="13">
        <f>1386.56*1.055*1.05</f>
        <v>1535.96</v>
      </c>
      <c r="F169" s="14">
        <f t="shared" si="4"/>
        <v>307.19</v>
      </c>
      <c r="G169" s="14">
        <f t="shared" si="5"/>
        <v>1843.15</v>
      </c>
      <c r="H169" s="317"/>
      <c r="I169" s="305">
        <f t="shared" si="6"/>
        <v>276.47000000000003</v>
      </c>
      <c r="J169" s="305">
        <f t="shared" si="7"/>
        <v>1812.43</v>
      </c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1:113" s="15" customFormat="1" ht="17.25" customHeight="1" x14ac:dyDescent="0.2">
      <c r="A170" s="462"/>
      <c r="B170" s="481"/>
      <c r="C170" s="379" t="s">
        <v>28</v>
      </c>
      <c r="D170" s="379" t="s">
        <v>19</v>
      </c>
      <c r="E170" s="13">
        <f>762.75*1.055*1.05</f>
        <v>844.94</v>
      </c>
      <c r="F170" s="14">
        <f t="shared" si="4"/>
        <v>168.99</v>
      </c>
      <c r="G170" s="14">
        <f t="shared" si="5"/>
        <v>1013.93</v>
      </c>
      <c r="H170" s="317"/>
      <c r="I170" s="305">
        <f t="shared" si="6"/>
        <v>152.09</v>
      </c>
      <c r="J170" s="305">
        <f t="shared" si="7"/>
        <v>997.03</v>
      </c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1:113" s="15" customFormat="1" ht="37.5" customHeight="1" x14ac:dyDescent="0.2">
      <c r="A171" s="462"/>
      <c r="B171" s="481"/>
      <c r="C171" s="12" t="s">
        <v>21</v>
      </c>
      <c r="D171" s="379" t="s">
        <v>19</v>
      </c>
      <c r="E171" s="13">
        <f>214.47*1.055*1.05</f>
        <v>237.58</v>
      </c>
      <c r="F171" s="14">
        <f t="shared" si="4"/>
        <v>47.52</v>
      </c>
      <c r="G171" s="14">
        <f t="shared" si="5"/>
        <v>285.10000000000002</v>
      </c>
      <c r="H171" s="317"/>
      <c r="I171" s="305">
        <f t="shared" si="6"/>
        <v>42.76</v>
      </c>
      <c r="J171" s="305">
        <f t="shared" si="7"/>
        <v>280.33999999999997</v>
      </c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1:113" s="15" customFormat="1" ht="49.5" customHeight="1" x14ac:dyDescent="0.2">
      <c r="A172" s="462"/>
      <c r="B172" s="481"/>
      <c r="C172" s="12" t="s">
        <v>22</v>
      </c>
      <c r="D172" s="379" t="s">
        <v>19</v>
      </c>
      <c r="E172" s="13">
        <f>895.28*1.055*1.05</f>
        <v>991.75</v>
      </c>
      <c r="F172" s="14">
        <f t="shared" si="4"/>
        <v>198.35</v>
      </c>
      <c r="G172" s="14">
        <f t="shared" si="5"/>
        <v>1190.0999999999999</v>
      </c>
      <c r="H172" s="317"/>
      <c r="I172" s="305">
        <f t="shared" si="6"/>
        <v>178.52</v>
      </c>
      <c r="J172" s="305">
        <f t="shared" si="7"/>
        <v>1170.27</v>
      </c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1:113" s="15" customFormat="1" ht="39" customHeight="1" x14ac:dyDescent="0.2">
      <c r="A173" s="462"/>
      <c r="B173" s="481"/>
      <c r="C173" s="16" t="s">
        <v>25</v>
      </c>
      <c r="D173" s="379" t="s">
        <v>19</v>
      </c>
      <c r="E173" s="13">
        <f>148.65*1.055*1.05</f>
        <v>164.67</v>
      </c>
      <c r="F173" s="14">
        <f t="shared" si="4"/>
        <v>32.93</v>
      </c>
      <c r="G173" s="14">
        <f t="shared" si="5"/>
        <v>197.6</v>
      </c>
      <c r="H173" s="317"/>
      <c r="I173" s="305">
        <f t="shared" si="6"/>
        <v>29.64</v>
      </c>
      <c r="J173" s="305">
        <f t="shared" si="7"/>
        <v>194.31</v>
      </c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1:113" s="15" customFormat="1" ht="41.25" customHeight="1" x14ac:dyDescent="0.2">
      <c r="A174" s="462" t="s">
        <v>54</v>
      </c>
      <c r="B174" s="485" t="s">
        <v>55</v>
      </c>
      <c r="C174" s="379" t="s">
        <v>16</v>
      </c>
      <c r="D174" s="12" t="s">
        <v>17</v>
      </c>
      <c r="E174" s="13">
        <f>1706.19*1.055*1.05</f>
        <v>1890.03</v>
      </c>
      <c r="F174" s="14">
        <f t="shared" si="4"/>
        <v>378.01</v>
      </c>
      <c r="G174" s="14">
        <f t="shared" si="5"/>
        <v>2268.04</v>
      </c>
      <c r="H174" s="317"/>
      <c r="I174" s="305">
        <f t="shared" si="6"/>
        <v>340.21</v>
      </c>
      <c r="J174" s="305">
        <f t="shared" si="7"/>
        <v>2230.2399999999998</v>
      </c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  <row r="175" spans="1:113" s="17" customFormat="1" ht="18" customHeight="1" x14ac:dyDescent="0.2">
      <c r="A175" s="462"/>
      <c r="B175" s="485"/>
      <c r="C175" s="379" t="s">
        <v>28</v>
      </c>
      <c r="D175" s="379" t="s">
        <v>19</v>
      </c>
      <c r="E175" s="13">
        <f>828.03*1.055*1.05</f>
        <v>917.25</v>
      </c>
      <c r="F175" s="14">
        <f t="shared" si="4"/>
        <v>183.45</v>
      </c>
      <c r="G175" s="14">
        <f t="shared" si="5"/>
        <v>1100.7</v>
      </c>
      <c r="H175" s="325"/>
      <c r="I175" s="305">
        <f t="shared" si="6"/>
        <v>165.11</v>
      </c>
      <c r="J175" s="305">
        <f t="shared" si="7"/>
        <v>1082.3599999999999</v>
      </c>
      <c r="K175" s="413"/>
      <c r="L175" s="413"/>
      <c r="M175" s="413"/>
      <c r="N175" s="413"/>
      <c r="O175" s="413"/>
      <c r="P175" s="413"/>
      <c r="Q175" s="413"/>
      <c r="R175" s="413"/>
      <c r="S175" s="413"/>
      <c r="T175" s="413"/>
      <c r="U175" s="413"/>
      <c r="V175" s="413"/>
      <c r="W175" s="413"/>
      <c r="X175" s="413"/>
      <c r="Y175" s="413"/>
      <c r="Z175" s="413"/>
      <c r="AA175" s="413"/>
      <c r="AB175" s="413"/>
      <c r="AC175" s="413"/>
      <c r="AD175" s="413"/>
      <c r="AE175" s="413"/>
      <c r="AF175" s="413"/>
      <c r="AG175" s="413"/>
      <c r="AH175" s="413"/>
      <c r="AI175" s="413"/>
      <c r="AJ175" s="413"/>
      <c r="AK175" s="413"/>
      <c r="AL175" s="413"/>
      <c r="AM175" s="413"/>
      <c r="AN175" s="413"/>
      <c r="AO175" s="413"/>
      <c r="AP175" s="413"/>
      <c r="AQ175" s="413"/>
      <c r="AR175" s="413"/>
      <c r="AS175" s="413"/>
      <c r="AT175" s="413"/>
      <c r="AU175" s="413"/>
      <c r="AV175" s="413"/>
      <c r="AW175" s="413"/>
      <c r="AX175" s="413"/>
      <c r="AY175" s="413"/>
      <c r="AZ175" s="413"/>
      <c r="BA175" s="413"/>
      <c r="BB175" s="413"/>
      <c r="BC175" s="413"/>
      <c r="BD175" s="413"/>
      <c r="BE175" s="413"/>
      <c r="BF175" s="413"/>
      <c r="BG175" s="413"/>
      <c r="BH175" s="413"/>
      <c r="BI175" s="413"/>
      <c r="BJ175" s="413"/>
      <c r="BK175" s="413"/>
      <c r="BL175" s="413"/>
      <c r="BM175" s="413"/>
      <c r="BN175" s="413"/>
      <c r="BO175" s="413"/>
      <c r="BP175" s="413"/>
      <c r="BQ175" s="413"/>
      <c r="BR175" s="413"/>
      <c r="BS175" s="413"/>
      <c r="BT175" s="413"/>
      <c r="BU175" s="413"/>
      <c r="BV175" s="413"/>
      <c r="BW175" s="413"/>
      <c r="BX175" s="413"/>
      <c r="BY175" s="413"/>
      <c r="BZ175" s="413"/>
      <c r="CA175" s="413"/>
      <c r="CB175" s="413"/>
      <c r="CC175" s="413"/>
      <c r="CD175" s="413"/>
      <c r="CE175" s="413"/>
      <c r="CF175" s="413"/>
      <c r="CG175" s="413"/>
      <c r="CH175" s="413"/>
      <c r="CI175" s="413"/>
      <c r="CJ175" s="413"/>
      <c r="CK175" s="413"/>
      <c r="CL175" s="413"/>
      <c r="CM175" s="413"/>
      <c r="CN175" s="413"/>
      <c r="CO175" s="413"/>
      <c r="CP175" s="413"/>
      <c r="CQ175" s="413"/>
      <c r="CR175" s="413"/>
      <c r="CS175" s="413"/>
      <c r="CT175" s="413"/>
      <c r="CU175" s="413"/>
      <c r="CV175" s="413"/>
      <c r="CW175" s="413"/>
      <c r="CX175" s="413"/>
      <c r="CY175" s="413"/>
      <c r="CZ175" s="413"/>
      <c r="DA175" s="413"/>
      <c r="DB175" s="413"/>
      <c r="DC175" s="413"/>
      <c r="DD175" s="413"/>
      <c r="DE175" s="413"/>
      <c r="DF175" s="413"/>
      <c r="DG175" s="413"/>
      <c r="DH175" s="413"/>
      <c r="DI175" s="413"/>
    </row>
    <row r="176" spans="1:113" s="15" customFormat="1" ht="40.5" customHeight="1" x14ac:dyDescent="0.2">
      <c r="A176" s="462"/>
      <c r="B176" s="485"/>
      <c r="C176" s="12" t="s">
        <v>21</v>
      </c>
      <c r="D176" s="379" t="s">
        <v>19</v>
      </c>
      <c r="E176" s="13">
        <f>214.47*1.055*1.05</f>
        <v>237.58</v>
      </c>
      <c r="F176" s="14">
        <f t="shared" si="4"/>
        <v>47.52</v>
      </c>
      <c r="G176" s="14">
        <f t="shared" si="5"/>
        <v>285.10000000000002</v>
      </c>
      <c r="H176" s="317"/>
      <c r="I176" s="305">
        <f t="shared" si="6"/>
        <v>42.76</v>
      </c>
      <c r="J176" s="305">
        <f t="shared" si="7"/>
        <v>280.33999999999997</v>
      </c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</row>
    <row r="177" spans="1:113" s="15" customFormat="1" ht="49.5" customHeight="1" x14ac:dyDescent="0.2">
      <c r="A177" s="462"/>
      <c r="B177" s="485"/>
      <c r="C177" s="12" t="s">
        <v>22</v>
      </c>
      <c r="D177" s="379" t="s">
        <v>19</v>
      </c>
      <c r="E177" s="13">
        <f>1017.34*1.055*1.05</f>
        <v>1126.96</v>
      </c>
      <c r="F177" s="14">
        <f t="shared" si="4"/>
        <v>225.39</v>
      </c>
      <c r="G177" s="14">
        <f t="shared" si="5"/>
        <v>1352.35</v>
      </c>
      <c r="H177" s="317"/>
      <c r="I177" s="305">
        <f t="shared" si="6"/>
        <v>202.85</v>
      </c>
      <c r="J177" s="305">
        <f t="shared" si="7"/>
        <v>1329.81</v>
      </c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</row>
    <row r="178" spans="1:113" s="15" customFormat="1" ht="41.25" customHeight="1" x14ac:dyDescent="0.2">
      <c r="A178" s="462"/>
      <c r="B178" s="485"/>
      <c r="C178" s="16" t="s">
        <v>25</v>
      </c>
      <c r="D178" s="379" t="s">
        <v>19</v>
      </c>
      <c r="E178" s="13">
        <f>148.65*1.055*1.05</f>
        <v>164.67</v>
      </c>
      <c r="F178" s="14">
        <f t="shared" si="4"/>
        <v>32.93</v>
      </c>
      <c r="G178" s="14">
        <f t="shared" si="5"/>
        <v>197.6</v>
      </c>
      <c r="H178" s="317"/>
      <c r="I178" s="305">
        <f t="shared" si="6"/>
        <v>29.64</v>
      </c>
      <c r="J178" s="305">
        <f t="shared" si="7"/>
        <v>194.31</v>
      </c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</row>
    <row r="179" spans="1:113" s="15" customFormat="1" ht="40.5" customHeight="1" x14ac:dyDescent="0.2">
      <c r="A179" s="462" t="s">
        <v>56</v>
      </c>
      <c r="B179" s="483" t="s">
        <v>57</v>
      </c>
      <c r="C179" s="379" t="s">
        <v>16</v>
      </c>
      <c r="D179" s="12" t="s">
        <v>17</v>
      </c>
      <c r="E179" s="13">
        <f>737.92*1.055*1.05</f>
        <v>817.43</v>
      </c>
      <c r="F179" s="14">
        <f t="shared" si="4"/>
        <v>163.49</v>
      </c>
      <c r="G179" s="14">
        <f t="shared" si="5"/>
        <v>980.92</v>
      </c>
      <c r="H179" s="317"/>
      <c r="I179" s="305">
        <f t="shared" si="6"/>
        <v>147.13999999999999</v>
      </c>
      <c r="J179" s="305">
        <f t="shared" si="7"/>
        <v>964.57</v>
      </c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</row>
    <row r="180" spans="1:113" s="15" customFormat="1" ht="15.75" customHeight="1" x14ac:dyDescent="0.2">
      <c r="A180" s="462"/>
      <c r="B180" s="484"/>
      <c r="C180" s="379" t="s">
        <v>28</v>
      </c>
      <c r="D180" s="379" t="s">
        <v>19</v>
      </c>
      <c r="E180" s="13">
        <f>595.83*1.055*1.05</f>
        <v>660.03</v>
      </c>
      <c r="F180" s="14">
        <f t="shared" si="4"/>
        <v>132.01</v>
      </c>
      <c r="G180" s="14">
        <f t="shared" si="5"/>
        <v>792.04</v>
      </c>
      <c r="H180" s="317"/>
      <c r="I180" s="305">
        <f t="shared" si="6"/>
        <v>118.81</v>
      </c>
      <c r="J180" s="305">
        <f t="shared" si="7"/>
        <v>778.84</v>
      </c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</row>
    <row r="181" spans="1:113" s="15" customFormat="1" ht="38.25" customHeight="1" x14ac:dyDescent="0.2">
      <c r="A181" s="462"/>
      <c r="B181" s="484"/>
      <c r="C181" s="12" t="s">
        <v>21</v>
      </c>
      <c r="D181" s="379" t="s">
        <v>19</v>
      </c>
      <c r="E181" s="13">
        <f>214.47*1.055*1.05</f>
        <v>237.58</v>
      </c>
      <c r="F181" s="14">
        <f t="shared" si="4"/>
        <v>47.52</v>
      </c>
      <c r="G181" s="14">
        <f t="shared" si="5"/>
        <v>285.10000000000002</v>
      </c>
      <c r="H181" s="317"/>
      <c r="I181" s="305">
        <f t="shared" si="6"/>
        <v>42.76</v>
      </c>
      <c r="J181" s="305">
        <f t="shared" si="7"/>
        <v>280.33999999999997</v>
      </c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</row>
    <row r="182" spans="1:113" s="15" customFormat="1" ht="53.25" customHeight="1" x14ac:dyDescent="0.2">
      <c r="A182" s="462"/>
      <c r="B182" s="484"/>
      <c r="C182" s="12" t="s">
        <v>22</v>
      </c>
      <c r="D182" s="379" t="s">
        <v>19</v>
      </c>
      <c r="E182" s="13">
        <f>449.98*1.055*1.05</f>
        <v>498.47</v>
      </c>
      <c r="F182" s="14">
        <f t="shared" si="4"/>
        <v>99.69</v>
      </c>
      <c r="G182" s="14">
        <f t="shared" si="5"/>
        <v>598.16</v>
      </c>
      <c r="H182" s="317"/>
      <c r="I182" s="305">
        <f t="shared" si="6"/>
        <v>89.72</v>
      </c>
      <c r="J182" s="305">
        <f t="shared" si="7"/>
        <v>588.19000000000005</v>
      </c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</row>
    <row r="183" spans="1:113" s="15" customFormat="1" ht="42" customHeight="1" x14ac:dyDescent="0.2">
      <c r="A183" s="462"/>
      <c r="B183" s="484"/>
      <c r="C183" s="16" t="s">
        <v>25</v>
      </c>
      <c r="D183" s="379" t="s">
        <v>19</v>
      </c>
      <c r="E183" s="13">
        <f>148.65*1.055*1.05</f>
        <v>164.67</v>
      </c>
      <c r="F183" s="14">
        <f t="shared" si="4"/>
        <v>32.93</v>
      </c>
      <c r="G183" s="14">
        <f t="shared" si="5"/>
        <v>197.6</v>
      </c>
      <c r="H183" s="317"/>
      <c r="I183" s="305">
        <f t="shared" si="6"/>
        <v>29.64</v>
      </c>
      <c r="J183" s="305">
        <f t="shared" si="7"/>
        <v>194.31</v>
      </c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</row>
    <row r="184" spans="1:113" s="15" customFormat="1" ht="39" customHeight="1" x14ac:dyDescent="0.2">
      <c r="A184" s="462" t="s">
        <v>58</v>
      </c>
      <c r="B184" s="481" t="s">
        <v>59</v>
      </c>
      <c r="C184" s="379" t="s">
        <v>16</v>
      </c>
      <c r="D184" s="12" t="s">
        <v>17</v>
      </c>
      <c r="E184" s="13">
        <f>550.07*1.055*1.05</f>
        <v>609.34</v>
      </c>
      <c r="F184" s="14">
        <f t="shared" si="4"/>
        <v>121.87</v>
      </c>
      <c r="G184" s="14">
        <f t="shared" si="5"/>
        <v>731.21</v>
      </c>
      <c r="H184" s="317"/>
      <c r="I184" s="305">
        <f t="shared" si="6"/>
        <v>109.68</v>
      </c>
      <c r="J184" s="305">
        <f t="shared" si="7"/>
        <v>719.02</v>
      </c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</row>
    <row r="185" spans="1:113" s="15" customFormat="1" ht="16.5" customHeight="1" x14ac:dyDescent="0.2">
      <c r="A185" s="462"/>
      <c r="B185" s="481"/>
      <c r="C185" s="379" t="s">
        <v>28</v>
      </c>
      <c r="D185" s="379" t="s">
        <v>19</v>
      </c>
      <c r="E185" s="13">
        <f>426.05*1.055*1.05</f>
        <v>471.96</v>
      </c>
      <c r="F185" s="14">
        <f t="shared" si="4"/>
        <v>94.39</v>
      </c>
      <c r="G185" s="14">
        <f t="shared" si="5"/>
        <v>566.35</v>
      </c>
      <c r="H185" s="317"/>
      <c r="I185" s="305">
        <f t="shared" si="6"/>
        <v>84.95</v>
      </c>
      <c r="J185" s="305">
        <f t="shared" si="7"/>
        <v>556.91</v>
      </c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</row>
    <row r="186" spans="1:113" s="15" customFormat="1" ht="35.25" customHeight="1" x14ac:dyDescent="0.2">
      <c r="A186" s="462"/>
      <c r="B186" s="481"/>
      <c r="C186" s="12" t="s">
        <v>21</v>
      </c>
      <c r="D186" s="379" t="s">
        <v>19</v>
      </c>
      <c r="E186" s="13">
        <f>214.47*1.055*1.05</f>
        <v>237.58</v>
      </c>
      <c r="F186" s="14">
        <f t="shared" si="4"/>
        <v>47.52</v>
      </c>
      <c r="G186" s="14">
        <f t="shared" si="5"/>
        <v>285.10000000000002</v>
      </c>
      <c r="H186" s="317"/>
      <c r="I186" s="305">
        <f t="shared" si="6"/>
        <v>42.76</v>
      </c>
      <c r="J186" s="305">
        <f t="shared" si="7"/>
        <v>280.33999999999997</v>
      </c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</row>
    <row r="187" spans="1:113" s="15" customFormat="1" ht="50.25" customHeight="1" x14ac:dyDescent="0.2">
      <c r="A187" s="462"/>
      <c r="B187" s="481"/>
      <c r="C187" s="12" t="s">
        <v>22</v>
      </c>
      <c r="D187" s="379" t="s">
        <v>19</v>
      </c>
      <c r="E187" s="13">
        <f>338.07*1.055*1.05</f>
        <v>374.5</v>
      </c>
      <c r="F187" s="14">
        <f t="shared" si="4"/>
        <v>74.900000000000006</v>
      </c>
      <c r="G187" s="14">
        <f t="shared" si="5"/>
        <v>449.4</v>
      </c>
      <c r="H187" s="18">
        <f>46.44</f>
        <v>46.44</v>
      </c>
      <c r="I187" s="326">
        <v>1.0549999999999999</v>
      </c>
      <c r="J187" s="305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</row>
    <row r="188" spans="1:113" s="15" customFormat="1" ht="44.25" customHeight="1" x14ac:dyDescent="0.2">
      <c r="A188" s="462"/>
      <c r="B188" s="481"/>
      <c r="C188" s="16" t="s">
        <v>25</v>
      </c>
      <c r="D188" s="379" t="s">
        <v>19</v>
      </c>
      <c r="E188" s="13">
        <f>148.65*1.055*1.05</f>
        <v>164.67</v>
      </c>
      <c r="F188" s="14">
        <f t="shared" si="4"/>
        <v>32.93</v>
      </c>
      <c r="G188" s="14">
        <f t="shared" si="5"/>
        <v>197.6</v>
      </c>
      <c r="H188" s="18">
        <f>50.31</f>
        <v>50.31</v>
      </c>
      <c r="I188" s="326">
        <v>1.0549999999999999</v>
      </c>
      <c r="J188" s="305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</row>
    <row r="189" spans="1:113" s="15" customFormat="1" ht="39" customHeight="1" x14ac:dyDescent="0.2">
      <c r="A189" s="462" t="s">
        <v>60</v>
      </c>
      <c r="B189" s="481" t="s">
        <v>61</v>
      </c>
      <c r="C189" s="379" t="s">
        <v>16</v>
      </c>
      <c r="D189" s="12" t="s">
        <v>17</v>
      </c>
      <c r="E189" s="13">
        <f>550.07*1.055*1.05</f>
        <v>609.34</v>
      </c>
      <c r="F189" s="14">
        <f t="shared" si="4"/>
        <v>121.87</v>
      </c>
      <c r="G189" s="14">
        <f t="shared" si="5"/>
        <v>731.21</v>
      </c>
      <c r="H189" s="18">
        <f>57.27</f>
        <v>57.27</v>
      </c>
      <c r="I189" s="326">
        <v>1.0549999999999999</v>
      </c>
      <c r="J189" s="305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</row>
    <row r="190" spans="1:113" s="15" customFormat="1" ht="15.75" customHeight="1" x14ac:dyDescent="0.2">
      <c r="A190" s="462"/>
      <c r="B190" s="481"/>
      <c r="C190" s="379" t="s">
        <v>28</v>
      </c>
      <c r="D190" s="379" t="s">
        <v>19</v>
      </c>
      <c r="E190" s="13">
        <f>426.05*1.055*1.05</f>
        <v>471.96</v>
      </c>
      <c r="F190" s="14">
        <f t="shared" si="4"/>
        <v>94.39</v>
      </c>
      <c r="G190" s="14">
        <f t="shared" si="5"/>
        <v>566.35</v>
      </c>
      <c r="H190" s="18">
        <f>72.36</f>
        <v>72.36</v>
      </c>
      <c r="I190" s="326">
        <v>1.0549999999999999</v>
      </c>
      <c r="J190" s="305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</row>
    <row r="191" spans="1:113" s="15" customFormat="1" ht="40.5" customHeight="1" x14ac:dyDescent="0.2">
      <c r="A191" s="462"/>
      <c r="B191" s="481"/>
      <c r="C191" s="12" t="s">
        <v>21</v>
      </c>
      <c r="D191" s="379" t="s">
        <v>19</v>
      </c>
      <c r="E191" s="13">
        <f>214.47*1.055*1.05</f>
        <v>237.58</v>
      </c>
      <c r="F191" s="14">
        <f t="shared" si="4"/>
        <v>47.52</v>
      </c>
      <c r="G191" s="14">
        <f t="shared" si="5"/>
        <v>285.10000000000002</v>
      </c>
      <c r="H191" s="18">
        <v>101.38</v>
      </c>
      <c r="I191" s="326">
        <v>1.0549999999999999</v>
      </c>
      <c r="J191" s="305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</row>
    <row r="192" spans="1:113" s="15" customFormat="1" ht="48" customHeight="1" x14ac:dyDescent="0.2">
      <c r="A192" s="462"/>
      <c r="B192" s="481"/>
      <c r="C192" s="12" t="s">
        <v>22</v>
      </c>
      <c r="D192" s="379" t="s">
        <v>19</v>
      </c>
      <c r="E192" s="13">
        <f>338.07*1.055*1.05</f>
        <v>374.5</v>
      </c>
      <c r="F192" s="14">
        <f t="shared" si="4"/>
        <v>74.900000000000006</v>
      </c>
      <c r="G192" s="14">
        <f t="shared" si="5"/>
        <v>449.4</v>
      </c>
      <c r="H192" s="18">
        <v>105.25</v>
      </c>
      <c r="I192" s="326">
        <v>1.0549999999999999</v>
      </c>
      <c r="J192" s="305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</row>
    <row r="193" spans="1:113" s="15" customFormat="1" ht="39.75" customHeight="1" x14ac:dyDescent="0.2">
      <c r="A193" s="462"/>
      <c r="B193" s="481"/>
      <c r="C193" s="16" t="s">
        <v>25</v>
      </c>
      <c r="D193" s="379" t="s">
        <v>19</v>
      </c>
      <c r="E193" s="13">
        <f>148.65*1.055*1.05</f>
        <v>164.67</v>
      </c>
      <c r="F193" s="14">
        <f t="shared" si="4"/>
        <v>32.93</v>
      </c>
      <c r="G193" s="14">
        <f t="shared" si="5"/>
        <v>197.6</v>
      </c>
      <c r="H193" s="18">
        <v>116.08</v>
      </c>
      <c r="I193" s="326">
        <v>1.0549999999999999</v>
      </c>
      <c r="J193" s="305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</row>
    <row r="194" spans="1:113" s="15" customFormat="1" ht="39" customHeight="1" x14ac:dyDescent="0.2">
      <c r="A194" s="462" t="s">
        <v>62</v>
      </c>
      <c r="B194" s="481" t="s">
        <v>63</v>
      </c>
      <c r="C194" s="379" t="s">
        <v>16</v>
      </c>
      <c r="D194" s="12" t="s">
        <v>17</v>
      </c>
      <c r="E194" s="14">
        <f>519.93*1.055*1.05</f>
        <v>575.95000000000005</v>
      </c>
      <c r="F194" s="14">
        <f t="shared" si="4"/>
        <v>115.19</v>
      </c>
      <c r="G194" s="14">
        <f t="shared" si="5"/>
        <v>691.14</v>
      </c>
      <c r="H194" s="18">
        <v>126.92</v>
      </c>
      <c r="I194" s="326">
        <v>1.0549999999999999</v>
      </c>
      <c r="J194" s="305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305">
        <f>497.54*1.045</f>
        <v>519.92999999999995</v>
      </c>
      <c r="BI194" s="305">
        <f>BH194-E194</f>
        <v>-56.02</v>
      </c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</row>
    <row r="195" spans="1:113" s="15" customFormat="1" ht="17.25" customHeight="1" x14ac:dyDescent="0.2">
      <c r="A195" s="462"/>
      <c r="B195" s="481"/>
      <c r="C195" s="379" t="s">
        <v>28</v>
      </c>
      <c r="D195" s="379" t="s">
        <v>19</v>
      </c>
      <c r="E195" s="14">
        <f>398.04*1.055*1.05</f>
        <v>440.93</v>
      </c>
      <c r="F195" s="14">
        <f t="shared" si="4"/>
        <v>88.19</v>
      </c>
      <c r="G195" s="14">
        <f t="shared" si="5"/>
        <v>529.12</v>
      </c>
      <c r="H195" s="18">
        <v>137.36000000000001</v>
      </c>
      <c r="I195" s="326">
        <v>1.0549999999999999</v>
      </c>
      <c r="J195" s="305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</row>
    <row r="196" spans="1:113" s="15" customFormat="1" ht="40.5" customHeight="1" x14ac:dyDescent="0.2">
      <c r="A196" s="462"/>
      <c r="B196" s="481"/>
      <c r="C196" s="12" t="s">
        <v>21</v>
      </c>
      <c r="D196" s="379" t="s">
        <v>19</v>
      </c>
      <c r="E196" s="14">
        <f>214.47*1.055*1.05</f>
        <v>237.58</v>
      </c>
      <c r="F196" s="14">
        <f t="shared" si="4"/>
        <v>47.52</v>
      </c>
      <c r="G196" s="14">
        <f t="shared" si="5"/>
        <v>285.10000000000002</v>
      </c>
      <c r="H196" s="18">
        <v>145.1</v>
      </c>
      <c r="I196" s="326">
        <v>1.0549999999999999</v>
      </c>
      <c r="J196" s="305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</row>
    <row r="197" spans="1:113" s="15" customFormat="1" ht="48.75" customHeight="1" x14ac:dyDescent="0.2">
      <c r="A197" s="462"/>
      <c r="B197" s="481"/>
      <c r="C197" s="12" t="s">
        <v>22</v>
      </c>
      <c r="D197" s="379" t="s">
        <v>19</v>
      </c>
      <c r="E197" s="14">
        <f>338.07*1.055*1.05</f>
        <v>374.5</v>
      </c>
      <c r="F197" s="14">
        <f t="shared" si="4"/>
        <v>74.900000000000006</v>
      </c>
      <c r="G197" s="14">
        <f>E197+F197</f>
        <v>449.4</v>
      </c>
      <c r="H197" s="18"/>
      <c r="I197" s="326"/>
      <c r="J197" s="305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</row>
    <row r="198" spans="1:113" s="15" customFormat="1" ht="36.75" customHeight="1" x14ac:dyDescent="0.2">
      <c r="A198" s="462"/>
      <c r="B198" s="481"/>
      <c r="C198" s="12" t="s">
        <v>23</v>
      </c>
      <c r="D198" s="379" t="s">
        <v>19</v>
      </c>
      <c r="E198" s="14">
        <f>168.57*1.055*1.05</f>
        <v>186.73</v>
      </c>
      <c r="F198" s="14">
        <f t="shared" si="4"/>
        <v>37.35</v>
      </c>
      <c r="G198" s="14">
        <f t="shared" si="5"/>
        <v>224.08</v>
      </c>
      <c r="H198" s="18">
        <v>159.80000000000001</v>
      </c>
      <c r="I198" s="326">
        <v>1.0549999999999999</v>
      </c>
      <c r="J198" s="305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</row>
    <row r="199" spans="1:113" s="15" customFormat="1" ht="44.25" customHeight="1" thickBot="1" x14ac:dyDescent="0.25">
      <c r="A199" s="462"/>
      <c r="B199" s="481"/>
      <c r="C199" s="16" t="s">
        <v>25</v>
      </c>
      <c r="D199" s="379" t="s">
        <v>19</v>
      </c>
      <c r="E199" s="14">
        <f>148.65*1.055*1.05</f>
        <v>164.67</v>
      </c>
      <c r="F199" s="14">
        <f t="shared" si="4"/>
        <v>32.93</v>
      </c>
      <c r="G199" s="14">
        <f t="shared" si="5"/>
        <v>197.6</v>
      </c>
      <c r="H199" s="18">
        <v>167.16</v>
      </c>
      <c r="I199" s="326">
        <v>1.0549999999999999</v>
      </c>
      <c r="J199" s="305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</row>
    <row r="200" spans="1:113" s="15" customFormat="1" ht="39" customHeight="1" x14ac:dyDescent="0.2">
      <c r="A200" s="462" t="s">
        <v>64</v>
      </c>
      <c r="B200" s="481" t="s">
        <v>65</v>
      </c>
      <c r="C200" s="379" t="s">
        <v>16</v>
      </c>
      <c r="D200" s="12" t="s">
        <v>17</v>
      </c>
      <c r="E200" s="14">
        <f>1203.05*1.055*1.05</f>
        <v>1332.68</v>
      </c>
      <c r="F200" s="14">
        <f t="shared" si="4"/>
        <v>266.54000000000002</v>
      </c>
      <c r="G200" s="14">
        <f t="shared" si="5"/>
        <v>1599.22</v>
      </c>
      <c r="H200" s="19">
        <v>41.22</v>
      </c>
      <c r="I200" s="326">
        <v>1.0549999999999999</v>
      </c>
      <c r="J200" s="305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</row>
    <row r="201" spans="1:113" s="15" customFormat="1" ht="16.5" customHeight="1" x14ac:dyDescent="0.2">
      <c r="A201" s="462"/>
      <c r="B201" s="481"/>
      <c r="C201" s="379" t="s">
        <v>28</v>
      </c>
      <c r="D201" s="379" t="s">
        <v>19</v>
      </c>
      <c r="E201" s="13">
        <f>676.14*1.055*1.05</f>
        <v>748.99</v>
      </c>
      <c r="F201" s="14">
        <f t="shared" si="4"/>
        <v>149.80000000000001</v>
      </c>
      <c r="G201" s="14">
        <f t="shared" si="5"/>
        <v>898.79</v>
      </c>
      <c r="H201" s="18"/>
      <c r="I201" s="326"/>
      <c r="J201" s="305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</row>
    <row r="202" spans="1:113" s="15" customFormat="1" ht="36.75" customHeight="1" x14ac:dyDescent="0.2">
      <c r="A202" s="462"/>
      <c r="B202" s="481"/>
      <c r="C202" s="12" t="s">
        <v>21</v>
      </c>
      <c r="D202" s="379" t="s">
        <v>19</v>
      </c>
      <c r="E202" s="13">
        <f>214.47*1.055*1.05</f>
        <v>237.58</v>
      </c>
      <c r="F202" s="14">
        <f t="shared" si="4"/>
        <v>47.52</v>
      </c>
      <c r="G202" s="14">
        <f t="shared" si="5"/>
        <v>285.10000000000002</v>
      </c>
      <c r="H202" s="18">
        <v>30.23</v>
      </c>
      <c r="I202" s="326">
        <v>1.0549999999999999</v>
      </c>
      <c r="J202" s="305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</row>
    <row r="203" spans="1:113" s="15" customFormat="1" ht="47.25" customHeight="1" x14ac:dyDescent="0.2">
      <c r="A203" s="462"/>
      <c r="B203" s="481"/>
      <c r="C203" s="12" t="s">
        <v>22</v>
      </c>
      <c r="D203" s="379" t="s">
        <v>19</v>
      </c>
      <c r="E203" s="13">
        <f>613.61*1.055*1.05</f>
        <v>679.73</v>
      </c>
      <c r="F203" s="14">
        <f t="shared" si="4"/>
        <v>135.94999999999999</v>
      </c>
      <c r="G203" s="14">
        <f t="shared" si="5"/>
        <v>815.68</v>
      </c>
      <c r="H203" s="18">
        <v>35.71</v>
      </c>
      <c r="I203" s="326">
        <v>1.0549999999999999</v>
      </c>
      <c r="J203" s="305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</row>
    <row r="204" spans="1:113" s="15" customFormat="1" ht="43.5" customHeight="1" x14ac:dyDescent="0.2">
      <c r="A204" s="462"/>
      <c r="B204" s="481"/>
      <c r="C204" s="16" t="s">
        <v>25</v>
      </c>
      <c r="D204" s="379" t="s">
        <v>19</v>
      </c>
      <c r="E204" s="13">
        <f>148.65*1.055*1.05</f>
        <v>164.67</v>
      </c>
      <c r="F204" s="14">
        <f t="shared" si="4"/>
        <v>32.93</v>
      </c>
      <c r="G204" s="14">
        <f t="shared" si="5"/>
        <v>197.6</v>
      </c>
      <c r="H204" s="18"/>
      <c r="I204" s="326"/>
      <c r="J204" s="305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</row>
    <row r="205" spans="1:113" s="15" customFormat="1" ht="47.25" customHeight="1" x14ac:dyDescent="0.2">
      <c r="A205" s="429" t="s">
        <v>66</v>
      </c>
      <c r="B205" s="482" t="s">
        <v>67</v>
      </c>
      <c r="C205" s="379" t="s">
        <v>16</v>
      </c>
      <c r="D205" s="12" t="s">
        <v>17</v>
      </c>
      <c r="E205" s="13">
        <f>1494.56*1.055*1.05</f>
        <v>1655.6</v>
      </c>
      <c r="F205" s="14">
        <f t="shared" si="4"/>
        <v>331.12</v>
      </c>
      <c r="G205" s="14">
        <f>E205+F205</f>
        <v>1986.72</v>
      </c>
      <c r="H205" s="18"/>
      <c r="I205" s="326"/>
      <c r="J205" s="305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</row>
    <row r="206" spans="1:113" s="15" customFormat="1" ht="18" customHeight="1" x14ac:dyDescent="0.2">
      <c r="A206" s="429"/>
      <c r="B206" s="482"/>
      <c r="C206" s="379" t="s">
        <v>28</v>
      </c>
      <c r="D206" s="379" t="s">
        <v>19</v>
      </c>
      <c r="E206" s="13">
        <f>756.87*1.055*1.05</f>
        <v>838.42</v>
      </c>
      <c r="F206" s="14">
        <f t="shared" si="4"/>
        <v>167.68</v>
      </c>
      <c r="G206" s="14">
        <f>E206+F206</f>
        <v>1006.1</v>
      </c>
      <c r="H206" s="18"/>
      <c r="I206" s="326"/>
      <c r="J206" s="305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</row>
    <row r="207" spans="1:113" s="15" customFormat="1" ht="36" customHeight="1" x14ac:dyDescent="0.2">
      <c r="A207" s="429"/>
      <c r="B207" s="482"/>
      <c r="C207" s="12" t="s">
        <v>21</v>
      </c>
      <c r="D207" s="379" t="s">
        <v>19</v>
      </c>
      <c r="E207" s="13">
        <f>214.47*1.055*1.05</f>
        <v>237.58</v>
      </c>
      <c r="F207" s="14">
        <f t="shared" si="4"/>
        <v>47.52</v>
      </c>
      <c r="G207" s="14">
        <f>E207+F207</f>
        <v>285.10000000000002</v>
      </c>
      <c r="H207" s="18"/>
      <c r="I207" s="326"/>
      <c r="J207" s="305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53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</row>
    <row r="208" spans="1:113" s="15" customFormat="1" ht="51.75" customHeight="1" x14ac:dyDescent="0.2">
      <c r="A208" s="429"/>
      <c r="B208" s="482"/>
      <c r="C208" s="12" t="s">
        <v>22</v>
      </c>
      <c r="D208" s="379" t="s">
        <v>19</v>
      </c>
      <c r="E208" s="13">
        <f>895.28*1.055*1.05</f>
        <v>991.75</v>
      </c>
      <c r="F208" s="14">
        <f t="shared" si="4"/>
        <v>198.35</v>
      </c>
      <c r="G208" s="14">
        <f>E208+F208</f>
        <v>1190.0999999999999</v>
      </c>
      <c r="H208" s="18"/>
      <c r="I208" s="326"/>
      <c r="J208" s="305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53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</row>
    <row r="209" spans="1:113" s="15" customFormat="1" ht="40.5" customHeight="1" thickBot="1" x14ac:dyDescent="0.25">
      <c r="A209" s="429"/>
      <c r="B209" s="482"/>
      <c r="C209" s="16" t="s">
        <v>25</v>
      </c>
      <c r="D209" s="379" t="s">
        <v>19</v>
      </c>
      <c r="E209" s="13">
        <f>148.65*1.055*1.05</f>
        <v>164.67</v>
      </c>
      <c r="F209" s="14">
        <f t="shared" si="4"/>
        <v>32.93</v>
      </c>
      <c r="G209" s="14">
        <f>E209+F209</f>
        <v>197.6</v>
      </c>
      <c r="H209" s="18"/>
      <c r="I209" s="326"/>
      <c r="J209" s="305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</row>
    <row r="210" spans="1:113" s="41" customFormat="1" ht="25.5" customHeight="1" x14ac:dyDescent="0.2">
      <c r="A210" s="375" t="s">
        <v>68</v>
      </c>
      <c r="B210" s="377" t="s">
        <v>69</v>
      </c>
      <c r="C210" s="12" t="s">
        <v>70</v>
      </c>
      <c r="D210" s="379" t="s">
        <v>19</v>
      </c>
      <c r="E210" s="13">
        <f>380.2*1.05</f>
        <v>399.21</v>
      </c>
      <c r="F210" s="14">
        <f t="shared" si="4"/>
        <v>79.84</v>
      </c>
      <c r="G210" s="14">
        <f t="shared" si="5"/>
        <v>479.05</v>
      </c>
      <c r="H210" s="316"/>
      <c r="I210" s="327"/>
      <c r="J210" s="320"/>
      <c r="K210" s="321"/>
      <c r="L210" s="321"/>
      <c r="M210" s="321"/>
      <c r="N210" s="321"/>
      <c r="O210" s="321"/>
      <c r="P210" s="321"/>
      <c r="Q210" s="321"/>
      <c r="R210" s="321"/>
      <c r="S210" s="316"/>
      <c r="T210" s="328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</row>
    <row r="211" spans="1:113" s="15" customFormat="1" ht="28.5" customHeight="1" x14ac:dyDescent="0.2">
      <c r="A211" s="375" t="s">
        <v>71</v>
      </c>
      <c r="B211" s="376" t="s">
        <v>72</v>
      </c>
      <c r="C211" s="12" t="s">
        <v>70</v>
      </c>
      <c r="D211" s="379" t="s">
        <v>19</v>
      </c>
      <c r="E211" s="13">
        <f>460.71*1.055*1.5</f>
        <v>729.07</v>
      </c>
      <c r="F211" s="14">
        <f t="shared" si="4"/>
        <v>145.81</v>
      </c>
      <c r="G211" s="14">
        <f t="shared" si="5"/>
        <v>874.88</v>
      </c>
      <c r="H211" s="317"/>
      <c r="I211" s="304">
        <f>E211*18%</f>
        <v>131.22999999999999</v>
      </c>
      <c r="J211" s="304">
        <f>E211*1.18</f>
        <v>860.3</v>
      </c>
      <c r="K211" s="253"/>
      <c r="L211" s="253"/>
      <c r="M211" s="253"/>
      <c r="N211" s="253"/>
      <c r="O211" s="253"/>
      <c r="P211" s="253"/>
      <c r="Q211" s="253"/>
      <c r="R211" s="253"/>
      <c r="S211" s="317"/>
      <c r="T211" s="328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</row>
    <row r="212" spans="1:113" s="22" customFormat="1" ht="27" customHeight="1" x14ac:dyDescent="0.2">
      <c r="A212" s="375" t="s">
        <v>73</v>
      </c>
      <c r="B212" s="376" t="s">
        <v>74</v>
      </c>
      <c r="C212" s="12" t="s">
        <v>70</v>
      </c>
      <c r="D212" s="379" t="s">
        <v>19</v>
      </c>
      <c r="E212" s="13">
        <f>496.18*1.055*1.5</f>
        <v>785.2</v>
      </c>
      <c r="F212" s="14">
        <f t="shared" si="4"/>
        <v>157.04</v>
      </c>
      <c r="G212" s="14">
        <f t="shared" si="5"/>
        <v>942.24</v>
      </c>
      <c r="H212" s="20"/>
      <c r="I212" s="304">
        <f>E212*18%</f>
        <v>141.34</v>
      </c>
      <c r="J212" s="304">
        <f>E212*1.18</f>
        <v>926.54</v>
      </c>
      <c r="K212" s="21"/>
      <c r="L212" s="21"/>
      <c r="M212" s="21"/>
      <c r="N212" s="21"/>
      <c r="O212" s="21"/>
      <c r="P212" s="21"/>
      <c r="Q212" s="21"/>
      <c r="R212" s="21"/>
      <c r="S212" s="20"/>
      <c r="T212" s="335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31"/>
      <c r="BI212" s="31"/>
      <c r="BJ212" s="31"/>
      <c r="BK212" s="31"/>
      <c r="BL212" s="31"/>
      <c r="BM212" s="31"/>
      <c r="BN212" s="31"/>
      <c r="BO212" s="31"/>
      <c r="BP212" s="31"/>
      <c r="BQ212" s="31"/>
      <c r="BR212" s="31"/>
      <c r="BS212" s="31"/>
      <c r="BT212" s="31"/>
      <c r="BU212" s="31"/>
      <c r="BV212" s="31"/>
      <c r="BW212" s="31"/>
      <c r="BX212" s="31"/>
      <c r="BY212" s="31"/>
      <c r="BZ212" s="31"/>
      <c r="CA212" s="31"/>
      <c r="CB212" s="31"/>
      <c r="CC212" s="31"/>
      <c r="CD212" s="31"/>
      <c r="CE212" s="31"/>
      <c r="CF212" s="31"/>
      <c r="CG212" s="31"/>
      <c r="CH212" s="31"/>
      <c r="CI212" s="31"/>
      <c r="CJ212" s="31"/>
      <c r="CK212" s="31"/>
      <c r="CL212" s="31"/>
      <c r="CM212" s="31"/>
      <c r="CN212" s="31"/>
      <c r="CO212" s="31"/>
      <c r="CP212" s="31"/>
      <c r="CQ212" s="31"/>
      <c r="CR212" s="31"/>
      <c r="CS212" s="31"/>
      <c r="CT212" s="31"/>
      <c r="CU212" s="31"/>
      <c r="CV212" s="31"/>
      <c r="CW212" s="31"/>
      <c r="CX212" s="31"/>
      <c r="CY212" s="31"/>
      <c r="CZ212" s="31"/>
      <c r="DA212" s="31"/>
      <c r="DB212" s="31"/>
      <c r="DC212" s="31"/>
      <c r="DD212" s="31"/>
      <c r="DE212" s="31"/>
      <c r="DF212" s="31"/>
      <c r="DG212" s="31"/>
      <c r="DH212" s="31"/>
      <c r="DI212" s="31"/>
    </row>
    <row r="213" spans="1:113" s="25" customFormat="1" ht="27" customHeight="1" x14ac:dyDescent="0.2">
      <c r="A213" s="375" t="s">
        <v>75</v>
      </c>
      <c r="B213" s="376" t="s">
        <v>76</v>
      </c>
      <c r="C213" s="12" t="s">
        <v>70</v>
      </c>
      <c r="D213" s="379" t="s">
        <v>19</v>
      </c>
      <c r="E213" s="13">
        <f>531.66*1.055*1.5</f>
        <v>841.35</v>
      </c>
      <c r="F213" s="14">
        <f t="shared" si="4"/>
        <v>168.27</v>
      </c>
      <c r="G213" s="14">
        <f t="shared" si="5"/>
        <v>1009.62</v>
      </c>
      <c r="H213" s="23"/>
      <c r="I213" s="304">
        <f>E213*18%</f>
        <v>151.44</v>
      </c>
      <c r="J213" s="304">
        <f>E213*1.18</f>
        <v>992.79</v>
      </c>
      <c r="K213" s="24"/>
      <c r="L213" s="24"/>
      <c r="M213" s="24"/>
      <c r="N213" s="24"/>
      <c r="O213" s="24"/>
      <c r="P213" s="24"/>
      <c r="Q213" s="24"/>
      <c r="R213" s="24"/>
      <c r="S213" s="23"/>
      <c r="T213" s="336"/>
      <c r="U213" s="309"/>
      <c r="V213" s="309"/>
      <c r="W213" s="309"/>
      <c r="X213" s="309"/>
      <c r="Y213" s="309"/>
      <c r="Z213" s="309"/>
      <c r="AA213" s="309"/>
      <c r="AB213" s="309"/>
      <c r="AC213" s="309"/>
      <c r="AD213" s="309"/>
      <c r="AE213" s="309"/>
      <c r="AF213" s="309"/>
      <c r="AG213" s="309"/>
      <c r="AH213" s="309"/>
      <c r="AI213" s="309"/>
      <c r="AJ213" s="309"/>
      <c r="AK213" s="309"/>
      <c r="AL213" s="309"/>
      <c r="AM213" s="309"/>
      <c r="AN213" s="309"/>
      <c r="AO213" s="309"/>
      <c r="AP213" s="309"/>
      <c r="AQ213" s="309"/>
      <c r="AR213" s="309"/>
      <c r="AS213" s="309"/>
      <c r="AT213" s="309"/>
      <c r="AU213" s="309"/>
      <c r="AV213" s="309"/>
      <c r="AW213" s="309"/>
      <c r="AX213" s="309"/>
      <c r="AY213" s="309"/>
      <c r="AZ213" s="309"/>
      <c r="BA213" s="309"/>
      <c r="BB213" s="309"/>
      <c r="BC213" s="309"/>
      <c r="BD213" s="309"/>
      <c r="BE213" s="309"/>
      <c r="BF213" s="309"/>
      <c r="BG213" s="309"/>
      <c r="BH213" s="309"/>
      <c r="BI213" s="309"/>
      <c r="BJ213" s="309"/>
      <c r="BK213" s="309"/>
      <c r="BL213" s="309"/>
      <c r="BM213" s="309"/>
      <c r="BN213" s="309"/>
      <c r="BO213" s="309"/>
      <c r="BP213" s="309"/>
      <c r="BQ213" s="309"/>
      <c r="BR213" s="309"/>
      <c r="BS213" s="309"/>
      <c r="BT213" s="309"/>
      <c r="BU213" s="309"/>
      <c r="BV213" s="309"/>
      <c r="BW213" s="309"/>
      <c r="BX213" s="309"/>
      <c r="BY213" s="309"/>
      <c r="BZ213" s="309"/>
      <c r="CA213" s="309"/>
      <c r="CB213" s="309"/>
      <c r="CC213" s="309"/>
      <c r="CD213" s="309"/>
      <c r="CE213" s="309"/>
      <c r="CF213" s="309"/>
      <c r="CG213" s="309"/>
      <c r="CH213" s="309"/>
      <c r="CI213" s="309"/>
      <c r="CJ213" s="309"/>
      <c r="CK213" s="309"/>
      <c r="CL213" s="309"/>
      <c r="CM213" s="309"/>
      <c r="CN213" s="309"/>
      <c r="CO213" s="309"/>
      <c r="CP213" s="309"/>
      <c r="CQ213" s="309"/>
      <c r="CR213" s="309"/>
      <c r="CS213" s="309"/>
      <c r="CT213" s="309"/>
      <c r="CU213" s="309"/>
      <c r="CV213" s="309"/>
      <c r="CW213" s="309"/>
      <c r="CX213" s="309"/>
      <c r="CY213" s="309"/>
      <c r="CZ213" s="309"/>
      <c r="DA213" s="309"/>
      <c r="DB213" s="309"/>
      <c r="DC213" s="309"/>
      <c r="DD213" s="309"/>
      <c r="DE213" s="309"/>
      <c r="DF213" s="309"/>
      <c r="DG213" s="309"/>
      <c r="DH213" s="309"/>
      <c r="DI213" s="309"/>
    </row>
    <row r="214" spans="1:113" s="22" customFormat="1" ht="26.25" customHeight="1" x14ac:dyDescent="0.2">
      <c r="A214" s="375" t="s">
        <v>77</v>
      </c>
      <c r="B214" s="376" t="s">
        <v>78</v>
      </c>
      <c r="C214" s="12" t="s">
        <v>70</v>
      </c>
      <c r="D214" s="379" t="s">
        <v>19</v>
      </c>
      <c r="E214" s="13">
        <f>596.9*1.055*1.5</f>
        <v>944.59</v>
      </c>
      <c r="F214" s="14">
        <f t="shared" si="4"/>
        <v>188.92</v>
      </c>
      <c r="G214" s="14">
        <f t="shared" si="5"/>
        <v>1133.51</v>
      </c>
      <c r="H214" s="20"/>
      <c r="I214" s="304" t="e">
        <f>#REF!*18%</f>
        <v>#REF!</v>
      </c>
      <c r="J214" s="304" t="e">
        <f>#REF!*1.18</f>
        <v>#REF!</v>
      </c>
      <c r="K214" s="308">
        <v>1.0549999999999999</v>
      </c>
      <c r="L214" s="21"/>
      <c r="M214" s="21"/>
      <c r="N214" s="21"/>
      <c r="O214" s="21"/>
      <c r="P214" s="21"/>
      <c r="Q214" s="21"/>
      <c r="R214" s="21"/>
      <c r="S214" s="20"/>
      <c r="T214" s="335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1"/>
      <c r="BH214" s="31"/>
      <c r="BI214" s="31"/>
      <c r="BJ214" s="31"/>
      <c r="BK214" s="31"/>
      <c r="BL214" s="31"/>
      <c r="BM214" s="31"/>
      <c r="BN214" s="31"/>
      <c r="BO214" s="31"/>
      <c r="BP214" s="31"/>
      <c r="BQ214" s="31"/>
      <c r="BR214" s="31"/>
      <c r="BS214" s="31"/>
      <c r="BT214" s="31"/>
      <c r="BU214" s="31"/>
      <c r="BV214" s="31"/>
      <c r="BW214" s="31"/>
      <c r="BX214" s="31"/>
      <c r="BY214" s="31"/>
      <c r="BZ214" s="31"/>
      <c r="CA214" s="31"/>
      <c r="CB214" s="31"/>
      <c r="CC214" s="31"/>
      <c r="CD214" s="31"/>
      <c r="CE214" s="31"/>
      <c r="CF214" s="31"/>
      <c r="CG214" s="31"/>
      <c r="CH214" s="31"/>
      <c r="CI214" s="31"/>
      <c r="CJ214" s="31"/>
      <c r="CK214" s="31"/>
      <c r="CL214" s="31"/>
      <c r="CM214" s="31"/>
      <c r="CN214" s="31"/>
      <c r="CO214" s="31"/>
      <c r="CP214" s="31"/>
      <c r="CQ214" s="31"/>
      <c r="CR214" s="31"/>
      <c r="CS214" s="31"/>
      <c r="CT214" s="31"/>
      <c r="CU214" s="31"/>
      <c r="CV214" s="31"/>
      <c r="CW214" s="31"/>
      <c r="CX214" s="31"/>
      <c r="CY214" s="31"/>
      <c r="CZ214" s="31"/>
      <c r="DA214" s="31"/>
      <c r="DB214" s="31"/>
      <c r="DC214" s="31"/>
      <c r="DD214" s="31"/>
      <c r="DE214" s="31"/>
      <c r="DF214" s="31"/>
      <c r="DG214" s="31"/>
      <c r="DH214" s="31"/>
      <c r="DI214" s="31"/>
    </row>
    <row r="215" spans="1:113" s="22" customFormat="1" ht="26.25" customHeight="1" x14ac:dyDescent="0.2">
      <c r="A215" s="375" t="s">
        <v>79</v>
      </c>
      <c r="B215" s="376" t="s">
        <v>80</v>
      </c>
      <c r="C215" s="12" t="s">
        <v>70</v>
      </c>
      <c r="D215" s="379" t="s">
        <v>19</v>
      </c>
      <c r="E215" s="13">
        <f>684.36*1.055*1.5</f>
        <v>1083</v>
      </c>
      <c r="F215" s="14">
        <f t="shared" si="4"/>
        <v>216.6</v>
      </c>
      <c r="G215" s="14">
        <f t="shared" si="5"/>
        <v>1299.5999999999999</v>
      </c>
      <c r="H215" s="20"/>
      <c r="I215" s="304" t="e">
        <f>#REF!*18%</f>
        <v>#REF!</v>
      </c>
      <c r="J215" s="304" t="e">
        <f>#REF!*1.18</f>
        <v>#REF!</v>
      </c>
      <c r="K215" s="308">
        <v>1.0549999999999999</v>
      </c>
      <c r="L215" s="21"/>
      <c r="M215" s="21"/>
      <c r="N215" s="21"/>
      <c r="O215" s="21"/>
      <c r="P215" s="21"/>
      <c r="Q215" s="21"/>
      <c r="R215" s="21"/>
      <c r="S215" s="20"/>
      <c r="T215" s="335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31"/>
      <c r="BH215" s="31"/>
      <c r="BI215" s="31"/>
      <c r="BJ215" s="31"/>
      <c r="BK215" s="31"/>
      <c r="BL215" s="31"/>
      <c r="BM215" s="31"/>
      <c r="BN215" s="31"/>
      <c r="BO215" s="31"/>
      <c r="BP215" s="31"/>
      <c r="BQ215" s="31"/>
      <c r="BR215" s="31"/>
      <c r="BS215" s="31"/>
      <c r="BT215" s="31"/>
      <c r="BU215" s="31"/>
      <c r="BV215" s="31"/>
      <c r="BW215" s="31"/>
      <c r="BX215" s="31"/>
      <c r="BY215" s="31"/>
      <c r="BZ215" s="31"/>
      <c r="CA215" s="31"/>
      <c r="CB215" s="31"/>
      <c r="CC215" s="31"/>
      <c r="CD215" s="31"/>
      <c r="CE215" s="31"/>
      <c r="CF215" s="31"/>
      <c r="CG215" s="31"/>
      <c r="CH215" s="31"/>
      <c r="CI215" s="31"/>
      <c r="CJ215" s="31"/>
      <c r="CK215" s="31"/>
      <c r="CL215" s="31"/>
      <c r="CM215" s="31"/>
      <c r="CN215" s="31"/>
      <c r="CO215" s="31"/>
      <c r="CP215" s="31"/>
      <c r="CQ215" s="31"/>
      <c r="CR215" s="31"/>
      <c r="CS215" s="31"/>
      <c r="CT215" s="31"/>
      <c r="CU215" s="31"/>
      <c r="CV215" s="31"/>
      <c r="CW215" s="31"/>
      <c r="CX215" s="31"/>
      <c r="CY215" s="31"/>
      <c r="CZ215" s="31"/>
      <c r="DA215" s="31"/>
      <c r="DB215" s="31"/>
      <c r="DC215" s="31"/>
      <c r="DD215" s="31"/>
      <c r="DE215" s="31"/>
      <c r="DF215" s="31"/>
      <c r="DG215" s="31"/>
      <c r="DH215" s="31"/>
      <c r="DI215" s="31"/>
    </row>
    <row r="216" spans="1:113" s="22" customFormat="1" ht="24.75" customHeight="1" x14ac:dyDescent="0.2">
      <c r="A216" s="375" t="s">
        <v>81</v>
      </c>
      <c r="B216" s="376" t="s">
        <v>82</v>
      </c>
      <c r="C216" s="12" t="s">
        <v>70</v>
      </c>
      <c r="D216" s="379" t="s">
        <v>19</v>
      </c>
      <c r="E216" s="13">
        <f>814.84*1.055*1.5</f>
        <v>1289.48</v>
      </c>
      <c r="F216" s="14">
        <f t="shared" si="4"/>
        <v>257.89999999999998</v>
      </c>
      <c r="G216" s="14">
        <f t="shared" si="5"/>
        <v>1547.38</v>
      </c>
      <c r="H216" s="20"/>
      <c r="I216" s="304" t="e">
        <f>#REF!*18%</f>
        <v>#REF!</v>
      </c>
      <c r="J216" s="304" t="e">
        <f>#REF!*1.18</f>
        <v>#REF!</v>
      </c>
      <c r="K216" s="308">
        <v>1.0549999999999999</v>
      </c>
      <c r="L216" s="21"/>
      <c r="M216" s="21"/>
      <c r="N216" s="21"/>
      <c r="O216" s="21"/>
      <c r="P216" s="21"/>
      <c r="Q216" s="21"/>
      <c r="R216" s="21"/>
      <c r="S216" s="20"/>
      <c r="T216" s="335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31"/>
      <c r="BH216" s="31"/>
      <c r="BI216" s="31"/>
      <c r="BJ216" s="31"/>
      <c r="BK216" s="31"/>
      <c r="BL216" s="31"/>
      <c r="BM216" s="31"/>
      <c r="BN216" s="31"/>
      <c r="BO216" s="31"/>
      <c r="BP216" s="31"/>
      <c r="BQ216" s="31"/>
      <c r="BR216" s="31"/>
      <c r="BS216" s="31"/>
      <c r="BT216" s="31"/>
      <c r="BU216" s="31"/>
      <c r="BV216" s="31"/>
      <c r="BW216" s="31"/>
      <c r="BX216" s="31"/>
      <c r="BY216" s="31"/>
      <c r="BZ216" s="31"/>
      <c r="CA216" s="31"/>
      <c r="CB216" s="31"/>
      <c r="CC216" s="31"/>
      <c r="CD216" s="31"/>
      <c r="CE216" s="31"/>
      <c r="CF216" s="31"/>
      <c r="CG216" s="31"/>
      <c r="CH216" s="31"/>
      <c r="CI216" s="31"/>
      <c r="CJ216" s="31"/>
      <c r="CK216" s="31"/>
      <c r="CL216" s="31"/>
      <c r="CM216" s="31"/>
      <c r="CN216" s="31"/>
      <c r="CO216" s="31"/>
      <c r="CP216" s="31"/>
      <c r="CQ216" s="31"/>
      <c r="CR216" s="31"/>
      <c r="CS216" s="31"/>
      <c r="CT216" s="31"/>
      <c r="CU216" s="31"/>
      <c r="CV216" s="31"/>
      <c r="CW216" s="31"/>
      <c r="CX216" s="31"/>
      <c r="CY216" s="31"/>
      <c r="CZ216" s="31"/>
      <c r="DA216" s="31"/>
      <c r="DB216" s="31"/>
      <c r="DC216" s="31"/>
      <c r="DD216" s="31"/>
      <c r="DE216" s="31"/>
      <c r="DF216" s="31"/>
      <c r="DG216" s="31"/>
      <c r="DH216" s="31"/>
      <c r="DI216" s="31"/>
    </row>
    <row r="217" spans="1:113" s="22" customFormat="1" ht="27" customHeight="1" x14ac:dyDescent="0.2">
      <c r="A217" s="375" t="s">
        <v>83</v>
      </c>
      <c r="B217" s="376" t="s">
        <v>84</v>
      </c>
      <c r="C217" s="12" t="s">
        <v>70</v>
      </c>
      <c r="D217" s="379" t="s">
        <v>19</v>
      </c>
      <c r="E217" s="13">
        <f>955.04*1.055*1.5</f>
        <v>1511.35</v>
      </c>
      <c r="F217" s="14">
        <f t="shared" si="4"/>
        <v>302.27</v>
      </c>
      <c r="G217" s="14">
        <f t="shared" si="5"/>
        <v>1813.62</v>
      </c>
      <c r="H217" s="20"/>
      <c r="I217" s="304" t="e">
        <f>#REF!*18%</f>
        <v>#REF!</v>
      </c>
      <c r="J217" s="304" t="e">
        <f>#REF!*1.18</f>
        <v>#REF!</v>
      </c>
      <c r="K217" s="308">
        <v>1.0549999999999999</v>
      </c>
      <c r="L217" s="21"/>
      <c r="M217" s="21"/>
      <c r="N217" s="21"/>
      <c r="O217" s="21"/>
      <c r="P217" s="21"/>
      <c r="Q217" s="21"/>
      <c r="R217" s="21"/>
      <c r="S217" s="20"/>
      <c r="T217" s="335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31"/>
      <c r="BH217" s="31"/>
      <c r="BI217" s="31"/>
      <c r="BJ217" s="31"/>
      <c r="BK217" s="31"/>
      <c r="BL217" s="31"/>
      <c r="BM217" s="31"/>
      <c r="BN217" s="31"/>
      <c r="BO217" s="31"/>
      <c r="BP217" s="31"/>
      <c r="BQ217" s="31"/>
      <c r="BR217" s="31"/>
      <c r="BS217" s="31"/>
      <c r="BT217" s="31"/>
      <c r="BU217" s="31"/>
      <c r="BV217" s="31"/>
      <c r="BW217" s="31"/>
      <c r="BX217" s="31"/>
      <c r="BY217" s="31"/>
      <c r="BZ217" s="31"/>
      <c r="CA217" s="31"/>
      <c r="CB217" s="31"/>
      <c r="CC217" s="31"/>
      <c r="CD217" s="31"/>
      <c r="CE217" s="31"/>
      <c r="CF217" s="31"/>
      <c r="CG217" s="31"/>
      <c r="CH217" s="31"/>
      <c r="CI217" s="31"/>
      <c r="CJ217" s="31"/>
      <c r="CK217" s="31"/>
      <c r="CL217" s="31"/>
      <c r="CM217" s="31"/>
      <c r="CN217" s="31"/>
      <c r="CO217" s="31"/>
      <c r="CP217" s="31"/>
      <c r="CQ217" s="31"/>
      <c r="CR217" s="31"/>
      <c r="CS217" s="31"/>
      <c r="CT217" s="31"/>
      <c r="CU217" s="31"/>
      <c r="CV217" s="31"/>
      <c r="CW217" s="31"/>
      <c r="CX217" s="31"/>
      <c r="CY217" s="31"/>
      <c r="CZ217" s="31"/>
      <c r="DA217" s="31"/>
      <c r="DB217" s="31"/>
      <c r="DC217" s="31"/>
      <c r="DD217" s="31"/>
      <c r="DE217" s="31"/>
      <c r="DF217" s="31"/>
      <c r="DG217" s="31"/>
      <c r="DH217" s="31"/>
      <c r="DI217" s="31"/>
    </row>
    <row r="218" spans="1:113" s="22" customFormat="1" ht="24.75" customHeight="1" x14ac:dyDescent="0.2">
      <c r="A218" s="375" t="s">
        <v>85</v>
      </c>
      <c r="B218" s="376" t="s">
        <v>86</v>
      </c>
      <c r="C218" s="12" t="s">
        <v>70</v>
      </c>
      <c r="D218" s="379" t="s">
        <v>19</v>
      </c>
      <c r="E218" s="13">
        <f>1100.79*1.055*1.5+0.01</f>
        <v>1742.01</v>
      </c>
      <c r="F218" s="14">
        <f t="shared" si="4"/>
        <v>348.4</v>
      </c>
      <c r="G218" s="14">
        <f t="shared" si="5"/>
        <v>2090.41</v>
      </c>
      <c r="H218" s="20"/>
      <c r="I218" s="304" t="e">
        <f>#REF!*18%</f>
        <v>#REF!</v>
      </c>
      <c r="J218" s="304" t="e">
        <f>#REF!*1.18</f>
        <v>#REF!</v>
      </c>
      <c r="K218" s="308">
        <v>1.0549999999999999</v>
      </c>
      <c r="L218" s="21"/>
      <c r="M218" s="21"/>
      <c r="N218" s="21"/>
      <c r="O218" s="21"/>
      <c r="P218" s="21"/>
      <c r="Q218" s="21"/>
      <c r="R218" s="21"/>
      <c r="S218" s="20"/>
      <c r="T218" s="335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  <c r="BH218" s="31"/>
      <c r="BI218" s="31"/>
      <c r="BJ218" s="31"/>
      <c r="BK218" s="31"/>
      <c r="BL218" s="31"/>
      <c r="BM218" s="31"/>
      <c r="BN218" s="31"/>
      <c r="BO218" s="31"/>
      <c r="BP218" s="31"/>
      <c r="BQ218" s="31"/>
      <c r="BR218" s="31"/>
      <c r="BS218" s="31"/>
      <c r="BT218" s="31"/>
      <c r="BU218" s="31"/>
      <c r="BV218" s="31"/>
      <c r="BW218" s="31"/>
      <c r="BX218" s="31"/>
      <c r="BY218" s="31"/>
      <c r="BZ218" s="31"/>
      <c r="CA218" s="31"/>
      <c r="CB218" s="31"/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1"/>
      <c r="CW218" s="31"/>
      <c r="CX218" s="31"/>
      <c r="CY218" s="31"/>
      <c r="CZ218" s="31"/>
      <c r="DA218" s="31"/>
      <c r="DB218" s="31"/>
      <c r="DC218" s="31"/>
      <c r="DD218" s="31"/>
      <c r="DE218" s="31"/>
      <c r="DF218" s="31"/>
      <c r="DG218" s="31"/>
      <c r="DH218" s="31"/>
      <c r="DI218" s="31"/>
    </row>
    <row r="219" spans="1:113" s="22" customFormat="1" ht="42.75" customHeight="1" x14ac:dyDescent="0.2">
      <c r="A219" s="375" t="s">
        <v>87</v>
      </c>
      <c r="B219" s="378" t="s">
        <v>88</v>
      </c>
      <c r="C219" s="26" t="s">
        <v>89</v>
      </c>
      <c r="D219" s="379" t="s">
        <v>19</v>
      </c>
      <c r="E219" s="13">
        <f>174.58*1.055*1.05</f>
        <v>193.39</v>
      </c>
      <c r="F219" s="14">
        <f t="shared" si="4"/>
        <v>38.68</v>
      </c>
      <c r="G219" s="14">
        <f>E219+F219</f>
        <v>232.07</v>
      </c>
      <c r="H219" s="20"/>
      <c r="I219" s="304"/>
      <c r="J219" s="304"/>
      <c r="K219" s="308"/>
      <c r="L219" s="21"/>
      <c r="M219" s="21"/>
      <c r="N219" s="21"/>
      <c r="O219" s="21"/>
      <c r="P219" s="21"/>
      <c r="Q219" s="21"/>
      <c r="R219" s="21"/>
      <c r="S219" s="20"/>
      <c r="T219" s="335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31"/>
      <c r="BI219" s="31"/>
      <c r="BJ219" s="31"/>
      <c r="BK219" s="31"/>
      <c r="BL219" s="31"/>
      <c r="BM219" s="31"/>
      <c r="BN219" s="31"/>
      <c r="BO219" s="31"/>
      <c r="BP219" s="31"/>
      <c r="BQ219" s="31"/>
      <c r="BR219" s="31"/>
      <c r="BS219" s="31"/>
      <c r="BT219" s="31"/>
      <c r="BU219" s="31"/>
      <c r="BV219" s="31"/>
      <c r="BW219" s="31"/>
      <c r="BX219" s="31"/>
      <c r="BY219" s="31"/>
      <c r="BZ219" s="31"/>
      <c r="CA219" s="31"/>
      <c r="CB219" s="31"/>
      <c r="CC219" s="31"/>
      <c r="CD219" s="31"/>
      <c r="CE219" s="31"/>
      <c r="CF219" s="31"/>
      <c r="CG219" s="31"/>
      <c r="CH219" s="31"/>
      <c r="CI219" s="31"/>
      <c r="CJ219" s="31"/>
      <c r="CK219" s="31"/>
      <c r="CL219" s="31"/>
      <c r="CM219" s="31"/>
      <c r="CN219" s="31"/>
      <c r="CO219" s="31"/>
      <c r="CP219" s="31"/>
      <c r="CQ219" s="31"/>
      <c r="CR219" s="31"/>
      <c r="CS219" s="31"/>
      <c r="CT219" s="31"/>
      <c r="CU219" s="31"/>
      <c r="CV219" s="31"/>
      <c r="CW219" s="31"/>
      <c r="CX219" s="31"/>
      <c r="CY219" s="31"/>
      <c r="CZ219" s="31"/>
      <c r="DA219" s="31"/>
      <c r="DB219" s="31"/>
      <c r="DC219" s="31"/>
      <c r="DD219" s="31"/>
      <c r="DE219" s="31"/>
      <c r="DF219" s="31"/>
      <c r="DG219" s="31"/>
      <c r="DH219" s="31"/>
      <c r="DI219" s="31"/>
    </row>
    <row r="220" spans="1:113" s="22" customFormat="1" ht="65.25" customHeight="1" x14ac:dyDescent="0.2">
      <c r="A220" s="375" t="s">
        <v>90</v>
      </c>
      <c r="B220" s="378" t="s">
        <v>1731</v>
      </c>
      <c r="C220" s="26" t="s">
        <v>1736</v>
      </c>
      <c r="D220" s="379" t="s">
        <v>19</v>
      </c>
      <c r="E220" s="13">
        <f>884.76*1.055*1.05</f>
        <v>980.09</v>
      </c>
      <c r="F220" s="14">
        <f t="shared" si="4"/>
        <v>196.02</v>
      </c>
      <c r="G220" s="14">
        <f>E220+F220</f>
        <v>1176.1099999999999</v>
      </c>
      <c r="H220" s="27">
        <f>F220+G220</f>
        <v>1372.13</v>
      </c>
      <c r="I220" s="304"/>
      <c r="J220" s="304"/>
      <c r="K220" s="308"/>
      <c r="L220" s="21"/>
      <c r="M220" s="21"/>
      <c r="N220" s="21"/>
      <c r="O220" s="21"/>
      <c r="P220" s="21"/>
      <c r="Q220" s="21"/>
      <c r="R220" s="21"/>
      <c r="S220" s="20"/>
      <c r="T220" s="335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31"/>
      <c r="BI220" s="31"/>
      <c r="BJ220" s="31"/>
      <c r="BK220" s="31"/>
      <c r="BL220" s="31"/>
      <c r="BM220" s="31"/>
      <c r="BN220" s="31"/>
      <c r="BO220" s="31"/>
      <c r="BP220" s="31"/>
      <c r="BQ220" s="31"/>
      <c r="BR220" s="31"/>
      <c r="BS220" s="31"/>
      <c r="BT220" s="31"/>
      <c r="BU220" s="31"/>
      <c r="BV220" s="31"/>
      <c r="BW220" s="31"/>
      <c r="BX220" s="31"/>
      <c r="BY220" s="31"/>
      <c r="BZ220" s="31"/>
      <c r="CA220" s="31"/>
      <c r="CB220" s="31"/>
      <c r="CC220" s="31"/>
      <c r="CD220" s="31"/>
      <c r="CE220" s="31"/>
      <c r="CF220" s="31"/>
      <c r="CG220" s="31"/>
      <c r="CH220" s="31"/>
      <c r="CI220" s="31"/>
      <c r="CJ220" s="31"/>
      <c r="CK220" s="31"/>
      <c r="CL220" s="31"/>
      <c r="CM220" s="31"/>
      <c r="CN220" s="31"/>
      <c r="CO220" s="31"/>
      <c r="CP220" s="31"/>
      <c r="CQ220" s="31"/>
      <c r="CR220" s="31"/>
      <c r="CS220" s="31"/>
      <c r="CT220" s="31"/>
      <c r="CU220" s="31"/>
      <c r="CV220" s="31"/>
      <c r="CW220" s="31"/>
      <c r="CX220" s="31"/>
      <c r="CY220" s="31"/>
      <c r="CZ220" s="31"/>
      <c r="DA220" s="31"/>
      <c r="DB220" s="31"/>
      <c r="DC220" s="31"/>
      <c r="DD220" s="31"/>
      <c r="DE220" s="31"/>
      <c r="DF220" s="31"/>
      <c r="DG220" s="31"/>
      <c r="DH220" s="31"/>
      <c r="DI220" s="31"/>
    </row>
    <row r="221" spans="1:113" s="22" customFormat="1" ht="78.75" customHeight="1" x14ac:dyDescent="0.2">
      <c r="A221" s="375" t="s">
        <v>453</v>
      </c>
      <c r="B221" s="378" t="s">
        <v>1731</v>
      </c>
      <c r="C221" s="26" t="s">
        <v>1737</v>
      </c>
      <c r="D221" s="379" t="s">
        <v>19</v>
      </c>
      <c r="E221" s="13">
        <f>328.7*1.055*1.05</f>
        <v>364.12</v>
      </c>
      <c r="F221" s="14">
        <f t="shared" si="4"/>
        <v>72.819999999999993</v>
      </c>
      <c r="G221" s="14">
        <f>E221+F221</f>
        <v>436.94</v>
      </c>
      <c r="H221" s="27"/>
      <c r="I221" s="304"/>
      <c r="J221" s="304"/>
      <c r="K221" s="308"/>
      <c r="L221" s="21"/>
      <c r="M221" s="21"/>
      <c r="N221" s="21"/>
      <c r="O221" s="21"/>
      <c r="P221" s="21"/>
      <c r="Q221" s="21"/>
      <c r="R221" s="21"/>
      <c r="S221" s="20"/>
      <c r="T221" s="335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31"/>
      <c r="BI221" s="31"/>
      <c r="BJ221" s="31"/>
      <c r="BK221" s="31"/>
      <c r="BL221" s="31"/>
      <c r="BM221" s="31"/>
      <c r="BN221" s="31"/>
      <c r="BO221" s="31"/>
      <c r="BP221" s="31"/>
      <c r="BQ221" s="31"/>
      <c r="BR221" s="31"/>
      <c r="BS221" s="31"/>
      <c r="BT221" s="31"/>
      <c r="BU221" s="31"/>
      <c r="BV221" s="31"/>
      <c r="BW221" s="31"/>
      <c r="BX221" s="31"/>
      <c r="BY221" s="31"/>
      <c r="BZ221" s="31"/>
      <c r="CA221" s="31"/>
      <c r="CB221" s="31"/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  <c r="CU221" s="31"/>
      <c r="CV221" s="31"/>
      <c r="CW221" s="31"/>
      <c r="CX221" s="31"/>
      <c r="CY221" s="31"/>
      <c r="CZ221" s="31"/>
      <c r="DA221" s="31"/>
      <c r="DB221" s="31"/>
      <c r="DC221" s="31"/>
      <c r="DD221" s="31"/>
      <c r="DE221" s="31"/>
      <c r="DF221" s="31"/>
      <c r="DG221" s="31"/>
      <c r="DH221" s="31"/>
      <c r="DI221" s="31"/>
    </row>
    <row r="222" spans="1:113" s="22" customFormat="1" ht="33.75" customHeight="1" x14ac:dyDescent="0.2">
      <c r="A222" s="375" t="s">
        <v>91</v>
      </c>
      <c r="B222" s="426" t="s">
        <v>92</v>
      </c>
      <c r="C222" s="426"/>
      <c r="D222" s="426"/>
      <c r="E222" s="426"/>
      <c r="F222" s="426"/>
      <c r="G222" s="426"/>
      <c r="H222" s="27"/>
      <c r="I222" s="304"/>
      <c r="J222" s="304"/>
      <c r="K222" s="308"/>
      <c r="L222" s="21"/>
      <c r="M222" s="21"/>
      <c r="N222" s="21"/>
      <c r="O222" s="21"/>
      <c r="P222" s="21"/>
      <c r="Q222" s="21"/>
      <c r="R222" s="21"/>
      <c r="S222" s="20"/>
      <c r="T222" s="335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31"/>
      <c r="BI222" s="31"/>
      <c r="BJ222" s="31"/>
      <c r="BK222" s="31"/>
      <c r="BL222" s="31"/>
      <c r="BM222" s="31"/>
      <c r="BN222" s="31"/>
      <c r="BO222" s="31"/>
      <c r="BP222" s="31"/>
      <c r="BQ222" s="31"/>
      <c r="BR222" s="31"/>
      <c r="BS222" s="31"/>
      <c r="BT222" s="31"/>
      <c r="BU222" s="31"/>
      <c r="BV222" s="31"/>
      <c r="BW222" s="31"/>
      <c r="BX222" s="31"/>
      <c r="BY222" s="31"/>
      <c r="BZ222" s="31"/>
      <c r="CA222" s="31"/>
      <c r="CB222" s="31"/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31"/>
      <c r="CO222" s="31"/>
      <c r="CP222" s="31"/>
      <c r="CQ222" s="31"/>
      <c r="CR222" s="31"/>
      <c r="CS222" s="31"/>
      <c r="CT222" s="31"/>
      <c r="CU222" s="31"/>
      <c r="CV222" s="31"/>
      <c r="CW222" s="31"/>
      <c r="CX222" s="31"/>
      <c r="CY222" s="31"/>
      <c r="CZ222" s="31"/>
      <c r="DA222" s="31"/>
      <c r="DB222" s="31"/>
      <c r="DC222" s="31"/>
      <c r="DD222" s="31"/>
      <c r="DE222" s="31"/>
      <c r="DF222" s="31"/>
      <c r="DG222" s="31"/>
      <c r="DH222" s="31"/>
      <c r="DI222" s="31"/>
    </row>
    <row r="223" spans="1:113" s="22" customFormat="1" ht="31.5" customHeight="1" x14ac:dyDescent="0.2">
      <c r="A223" s="375" t="s">
        <v>93</v>
      </c>
      <c r="B223" s="426">
        <v>5</v>
      </c>
      <c r="C223" s="426"/>
      <c r="D223" s="28" t="s">
        <v>94</v>
      </c>
      <c r="E223" s="13">
        <f>83.28*1.055*1.05</f>
        <v>92.25</v>
      </c>
      <c r="F223" s="14">
        <f t="shared" ref="F223:F233" si="8">E223*20%</f>
        <v>18.45</v>
      </c>
      <c r="G223" s="14">
        <f t="shared" ref="G223:G234" si="9">E223+F223</f>
        <v>110.7</v>
      </c>
      <c r="H223" s="27"/>
      <c r="I223" s="304"/>
      <c r="J223" s="304"/>
      <c r="K223" s="308"/>
      <c r="L223" s="21"/>
      <c r="M223" s="21"/>
      <c r="N223" s="21"/>
      <c r="O223" s="21"/>
      <c r="P223" s="21"/>
      <c r="Q223" s="21"/>
      <c r="R223" s="21"/>
      <c r="S223" s="20"/>
      <c r="T223" s="335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31"/>
      <c r="BO223" s="31"/>
      <c r="BP223" s="31"/>
      <c r="BQ223" s="31"/>
      <c r="BR223" s="31"/>
      <c r="BS223" s="31"/>
      <c r="BT223" s="31"/>
      <c r="BU223" s="31"/>
      <c r="BV223" s="31"/>
      <c r="BW223" s="31"/>
      <c r="BX223" s="31"/>
      <c r="BY223" s="31"/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  <c r="CW223" s="31"/>
      <c r="CX223" s="31"/>
      <c r="CY223" s="31"/>
      <c r="CZ223" s="31"/>
      <c r="DA223" s="31"/>
      <c r="DB223" s="31"/>
      <c r="DC223" s="31"/>
      <c r="DD223" s="31"/>
      <c r="DE223" s="31"/>
      <c r="DF223" s="31"/>
      <c r="DG223" s="31"/>
      <c r="DH223" s="31"/>
      <c r="DI223" s="31"/>
    </row>
    <row r="224" spans="1:113" s="22" customFormat="1" ht="30.75" customHeight="1" x14ac:dyDescent="0.2">
      <c r="A224" s="375" t="s">
        <v>95</v>
      </c>
      <c r="B224" s="426">
        <v>30</v>
      </c>
      <c r="C224" s="426"/>
      <c r="D224" s="28" t="s">
        <v>94</v>
      </c>
      <c r="E224" s="13">
        <f>90.24*1.055*1.05</f>
        <v>99.96</v>
      </c>
      <c r="F224" s="14">
        <f t="shared" si="8"/>
        <v>19.989999999999998</v>
      </c>
      <c r="G224" s="14">
        <f t="shared" si="9"/>
        <v>119.95</v>
      </c>
      <c r="H224" s="27"/>
      <c r="I224" s="304"/>
      <c r="J224" s="304"/>
      <c r="K224" s="308"/>
      <c r="L224" s="21"/>
      <c r="M224" s="21"/>
      <c r="N224" s="21"/>
      <c r="O224" s="21"/>
      <c r="P224" s="21"/>
      <c r="Q224" s="21"/>
      <c r="R224" s="21"/>
      <c r="S224" s="20"/>
      <c r="T224" s="335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31"/>
      <c r="BI224" s="31"/>
      <c r="BJ224" s="31"/>
      <c r="BK224" s="31"/>
      <c r="BL224" s="31"/>
      <c r="BM224" s="31"/>
      <c r="BN224" s="31"/>
      <c r="BO224" s="31"/>
      <c r="BP224" s="31"/>
      <c r="BQ224" s="31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1"/>
      <c r="CC224" s="31"/>
      <c r="CD224" s="31"/>
      <c r="CE224" s="31"/>
      <c r="CF224" s="31"/>
      <c r="CG224" s="31"/>
      <c r="CH224" s="31"/>
      <c r="CI224" s="31"/>
      <c r="CJ224" s="31"/>
      <c r="CK224" s="31"/>
      <c r="CL224" s="31"/>
      <c r="CM224" s="31"/>
      <c r="CN224" s="31"/>
      <c r="CO224" s="31"/>
      <c r="CP224" s="31"/>
      <c r="CQ224" s="31"/>
      <c r="CR224" s="31"/>
      <c r="CS224" s="31"/>
      <c r="CT224" s="31"/>
      <c r="CU224" s="31"/>
      <c r="CV224" s="31"/>
      <c r="CW224" s="31"/>
      <c r="CX224" s="31"/>
      <c r="CY224" s="31"/>
      <c r="CZ224" s="31"/>
      <c r="DA224" s="31"/>
      <c r="DB224" s="31"/>
      <c r="DC224" s="31"/>
      <c r="DD224" s="31"/>
      <c r="DE224" s="31"/>
      <c r="DF224" s="31"/>
      <c r="DG224" s="31"/>
      <c r="DH224" s="31"/>
      <c r="DI224" s="31"/>
    </row>
    <row r="225" spans="1:113" s="22" customFormat="1" ht="31.5" customHeight="1" x14ac:dyDescent="0.2">
      <c r="A225" s="375" t="s">
        <v>96</v>
      </c>
      <c r="B225" s="426">
        <v>100</v>
      </c>
      <c r="C225" s="426"/>
      <c r="D225" s="28" t="s">
        <v>94</v>
      </c>
      <c r="E225" s="13">
        <f>102.71*1.055*1.05</f>
        <v>113.78</v>
      </c>
      <c r="F225" s="14">
        <f t="shared" si="8"/>
        <v>22.76</v>
      </c>
      <c r="G225" s="14">
        <f t="shared" si="9"/>
        <v>136.54</v>
      </c>
      <c r="H225" s="27"/>
      <c r="I225" s="304"/>
      <c r="J225" s="304"/>
      <c r="K225" s="308"/>
      <c r="L225" s="21"/>
      <c r="M225" s="21"/>
      <c r="N225" s="21"/>
      <c r="O225" s="21"/>
      <c r="P225" s="21"/>
      <c r="Q225" s="21"/>
      <c r="R225" s="21"/>
      <c r="S225" s="20"/>
      <c r="T225" s="335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1"/>
      <c r="CY225" s="31"/>
      <c r="CZ225" s="31"/>
      <c r="DA225" s="31"/>
      <c r="DB225" s="31"/>
      <c r="DC225" s="31"/>
      <c r="DD225" s="31"/>
      <c r="DE225" s="31"/>
      <c r="DF225" s="31"/>
      <c r="DG225" s="31"/>
      <c r="DH225" s="31"/>
      <c r="DI225" s="31"/>
    </row>
    <row r="226" spans="1:113" s="22" customFormat="1" ht="30.75" customHeight="1" x14ac:dyDescent="0.2">
      <c r="A226" s="375" t="s">
        <v>97</v>
      </c>
      <c r="B226" s="426">
        <v>200</v>
      </c>
      <c r="C226" s="426"/>
      <c r="D226" s="28" t="s">
        <v>94</v>
      </c>
      <c r="E226" s="13">
        <f>129.78*1.055*1.05</f>
        <v>143.76</v>
      </c>
      <c r="F226" s="14">
        <f t="shared" si="8"/>
        <v>28.75</v>
      </c>
      <c r="G226" s="14">
        <f t="shared" si="9"/>
        <v>172.51</v>
      </c>
      <c r="H226" s="27"/>
      <c r="I226" s="304"/>
      <c r="J226" s="304"/>
      <c r="K226" s="308"/>
      <c r="L226" s="21"/>
      <c r="M226" s="21"/>
      <c r="N226" s="21"/>
      <c r="O226" s="21"/>
      <c r="P226" s="21"/>
      <c r="Q226" s="21"/>
      <c r="R226" s="21"/>
      <c r="S226" s="20"/>
      <c r="T226" s="335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  <c r="CW226" s="31"/>
      <c r="CX226" s="31"/>
      <c r="CY226" s="31"/>
      <c r="CZ226" s="31"/>
      <c r="DA226" s="31"/>
      <c r="DB226" s="31"/>
      <c r="DC226" s="31"/>
      <c r="DD226" s="31"/>
      <c r="DE226" s="31"/>
      <c r="DF226" s="31"/>
      <c r="DG226" s="31"/>
      <c r="DH226" s="31"/>
      <c r="DI226" s="31"/>
    </row>
    <row r="227" spans="1:113" s="22" customFormat="1" ht="29.25" customHeight="1" x14ac:dyDescent="0.2">
      <c r="A227" s="375" t="s">
        <v>98</v>
      </c>
      <c r="B227" s="426">
        <v>450</v>
      </c>
      <c r="C227" s="426"/>
      <c r="D227" s="28" t="s">
        <v>94</v>
      </c>
      <c r="E227" s="13">
        <f>186.93*1.055*1.05</f>
        <v>207.07</v>
      </c>
      <c r="F227" s="14">
        <f t="shared" si="8"/>
        <v>41.41</v>
      </c>
      <c r="G227" s="14">
        <f t="shared" si="9"/>
        <v>248.48</v>
      </c>
      <c r="H227" s="27"/>
      <c r="I227" s="304"/>
      <c r="J227" s="304"/>
      <c r="K227" s="308"/>
      <c r="L227" s="21"/>
      <c r="M227" s="21"/>
      <c r="N227" s="21"/>
      <c r="O227" s="21"/>
      <c r="P227" s="21"/>
      <c r="Q227" s="21"/>
      <c r="R227" s="21"/>
      <c r="S227" s="20"/>
      <c r="T227" s="335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  <c r="BL227" s="31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  <c r="CW227" s="31"/>
      <c r="CX227" s="31"/>
      <c r="CY227" s="31"/>
      <c r="CZ227" s="31"/>
      <c r="DA227" s="31"/>
      <c r="DB227" s="31"/>
      <c r="DC227" s="31"/>
      <c r="DD227" s="31"/>
      <c r="DE227" s="31"/>
      <c r="DF227" s="31"/>
      <c r="DG227" s="31"/>
      <c r="DH227" s="31"/>
      <c r="DI227" s="31"/>
    </row>
    <row r="228" spans="1:113" s="22" customFormat="1" ht="30.75" customHeight="1" x14ac:dyDescent="0.2">
      <c r="A228" s="375" t="s">
        <v>99</v>
      </c>
      <c r="B228" s="426">
        <v>600</v>
      </c>
      <c r="C228" s="426"/>
      <c r="D228" s="28" t="s">
        <v>94</v>
      </c>
      <c r="E228" s="13">
        <f>189.77*1.055*1.05</f>
        <v>210.22</v>
      </c>
      <c r="F228" s="14">
        <f t="shared" si="8"/>
        <v>42.04</v>
      </c>
      <c r="G228" s="14">
        <f t="shared" si="9"/>
        <v>252.26</v>
      </c>
      <c r="H228" s="27"/>
      <c r="I228" s="304"/>
      <c r="J228" s="304"/>
      <c r="K228" s="308"/>
      <c r="L228" s="21"/>
      <c r="M228" s="21"/>
      <c r="N228" s="21"/>
      <c r="O228" s="21"/>
      <c r="P228" s="21"/>
      <c r="Q228" s="21"/>
      <c r="R228" s="21"/>
      <c r="S228" s="20"/>
      <c r="T228" s="335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1"/>
      <c r="CC228" s="31"/>
      <c r="CD228" s="31"/>
      <c r="CE228" s="31"/>
      <c r="CF228" s="31"/>
      <c r="CG228" s="31"/>
      <c r="CH228" s="31"/>
      <c r="CI228" s="31"/>
      <c r="CJ228" s="31"/>
      <c r="CK228" s="31"/>
      <c r="CL228" s="31"/>
      <c r="CM228" s="31"/>
      <c r="CN228" s="31"/>
      <c r="CO228" s="31"/>
      <c r="CP228" s="31"/>
      <c r="CQ228" s="31"/>
      <c r="CR228" s="31"/>
      <c r="CS228" s="31"/>
      <c r="CT228" s="31"/>
      <c r="CU228" s="31"/>
      <c r="CV228" s="31"/>
      <c r="CW228" s="31"/>
      <c r="CX228" s="31"/>
      <c r="CY228" s="31"/>
      <c r="CZ228" s="31"/>
      <c r="DA228" s="31"/>
      <c r="DB228" s="31"/>
      <c r="DC228" s="31"/>
      <c r="DD228" s="31"/>
      <c r="DE228" s="31"/>
      <c r="DF228" s="31"/>
      <c r="DG228" s="31"/>
      <c r="DH228" s="31"/>
      <c r="DI228" s="31"/>
    </row>
    <row r="229" spans="1:113" s="22" customFormat="1" ht="30.75" customHeight="1" x14ac:dyDescent="0.2">
      <c r="A229" s="375" t="s">
        <v>100</v>
      </c>
      <c r="B229" s="426">
        <v>700</v>
      </c>
      <c r="C229" s="426"/>
      <c r="D229" s="28" t="s">
        <v>94</v>
      </c>
      <c r="E229" s="13">
        <f>208.18*1.055*1.05</f>
        <v>230.61</v>
      </c>
      <c r="F229" s="14">
        <f t="shared" si="8"/>
        <v>46.12</v>
      </c>
      <c r="G229" s="14">
        <f t="shared" si="9"/>
        <v>276.73</v>
      </c>
      <c r="H229" s="27"/>
      <c r="I229" s="304"/>
      <c r="J229" s="304"/>
      <c r="K229" s="308"/>
      <c r="L229" s="21"/>
      <c r="M229" s="21"/>
      <c r="N229" s="21"/>
      <c r="O229" s="21"/>
      <c r="P229" s="21"/>
      <c r="Q229" s="21"/>
      <c r="R229" s="21"/>
      <c r="S229" s="20"/>
      <c r="T229" s="335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1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  <c r="CW229" s="31"/>
      <c r="CX229" s="31"/>
      <c r="CY229" s="31"/>
      <c r="CZ229" s="31"/>
      <c r="DA229" s="31"/>
      <c r="DB229" s="31"/>
      <c r="DC229" s="31"/>
      <c r="DD229" s="31"/>
      <c r="DE229" s="31"/>
      <c r="DF229" s="31"/>
      <c r="DG229" s="31"/>
      <c r="DH229" s="31"/>
      <c r="DI229" s="31"/>
    </row>
    <row r="230" spans="1:113" s="22" customFormat="1" ht="30.75" customHeight="1" x14ac:dyDescent="0.2">
      <c r="A230" s="375" t="s">
        <v>101</v>
      </c>
      <c r="B230" s="426">
        <v>800</v>
      </c>
      <c r="C230" s="426"/>
      <c r="D230" s="28" t="s">
        <v>94</v>
      </c>
      <c r="E230" s="13">
        <f>227.63*1.055*1.05</f>
        <v>252.16</v>
      </c>
      <c r="F230" s="14">
        <f t="shared" si="8"/>
        <v>50.43</v>
      </c>
      <c r="G230" s="14">
        <f t="shared" si="9"/>
        <v>302.58999999999997</v>
      </c>
      <c r="H230" s="27"/>
      <c r="I230" s="304"/>
      <c r="J230" s="304"/>
      <c r="K230" s="308"/>
      <c r="L230" s="21"/>
      <c r="M230" s="21"/>
      <c r="N230" s="21"/>
      <c r="O230" s="21"/>
      <c r="P230" s="21"/>
      <c r="Q230" s="21"/>
      <c r="R230" s="21"/>
      <c r="S230" s="20"/>
      <c r="T230" s="335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  <c r="BL230" s="31"/>
      <c r="BM230" s="31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1"/>
      <c r="CC230" s="31"/>
      <c r="CD230" s="31"/>
      <c r="CE230" s="31"/>
      <c r="CF230" s="31"/>
      <c r="CG230" s="31"/>
      <c r="CH230" s="31"/>
      <c r="CI230" s="31"/>
      <c r="CJ230" s="31"/>
      <c r="CK230" s="31"/>
      <c r="CL230" s="31"/>
      <c r="CM230" s="31"/>
      <c r="CN230" s="31"/>
      <c r="CO230" s="31"/>
      <c r="CP230" s="31"/>
      <c r="CQ230" s="31"/>
      <c r="CR230" s="31"/>
      <c r="CS230" s="31"/>
      <c r="CT230" s="31"/>
      <c r="CU230" s="31"/>
      <c r="CV230" s="31"/>
      <c r="CW230" s="31"/>
      <c r="CX230" s="31"/>
      <c r="CY230" s="31"/>
      <c r="CZ230" s="31"/>
      <c r="DA230" s="31"/>
      <c r="DB230" s="31"/>
      <c r="DC230" s="31"/>
      <c r="DD230" s="31"/>
      <c r="DE230" s="31"/>
      <c r="DF230" s="31"/>
      <c r="DG230" s="31"/>
      <c r="DH230" s="31"/>
      <c r="DI230" s="31"/>
    </row>
    <row r="231" spans="1:113" s="22" customFormat="1" ht="30.75" customHeight="1" x14ac:dyDescent="0.2">
      <c r="A231" s="375" t="s">
        <v>102</v>
      </c>
      <c r="B231" s="426">
        <v>900</v>
      </c>
      <c r="C231" s="426"/>
      <c r="D231" s="28" t="s">
        <v>94</v>
      </c>
      <c r="E231" s="13">
        <f>246.35*1.055*1.05</f>
        <v>272.89</v>
      </c>
      <c r="F231" s="14">
        <f t="shared" si="8"/>
        <v>54.58</v>
      </c>
      <c r="G231" s="14">
        <f t="shared" si="9"/>
        <v>327.47000000000003</v>
      </c>
      <c r="H231" s="27"/>
      <c r="I231" s="304"/>
      <c r="J231" s="304"/>
      <c r="K231" s="308"/>
      <c r="L231" s="21"/>
      <c r="M231" s="21"/>
      <c r="N231" s="21"/>
      <c r="O231" s="21"/>
      <c r="P231" s="21"/>
      <c r="Q231" s="21"/>
      <c r="R231" s="21"/>
      <c r="S231" s="20"/>
      <c r="T231" s="335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  <c r="BH231" s="31"/>
      <c r="BI231" s="31"/>
      <c r="BJ231" s="31"/>
      <c r="BK231" s="31"/>
      <c r="BL231" s="31"/>
      <c r="BM231" s="31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  <c r="CW231" s="31"/>
      <c r="CX231" s="31"/>
      <c r="CY231" s="31"/>
      <c r="CZ231" s="31"/>
      <c r="DA231" s="31"/>
      <c r="DB231" s="31"/>
      <c r="DC231" s="31"/>
      <c r="DD231" s="31"/>
      <c r="DE231" s="31"/>
      <c r="DF231" s="31"/>
      <c r="DG231" s="31"/>
      <c r="DH231" s="31"/>
      <c r="DI231" s="31"/>
    </row>
    <row r="232" spans="1:113" s="22" customFormat="1" ht="30.75" customHeight="1" x14ac:dyDescent="0.2">
      <c r="A232" s="375" t="s">
        <v>103</v>
      </c>
      <c r="B232" s="426">
        <v>1000</v>
      </c>
      <c r="C232" s="426"/>
      <c r="D232" s="28" t="s">
        <v>94</v>
      </c>
      <c r="E232" s="13">
        <f>260.24*1.055*1.05</f>
        <v>288.27999999999997</v>
      </c>
      <c r="F232" s="14">
        <f t="shared" si="8"/>
        <v>57.66</v>
      </c>
      <c r="G232" s="14">
        <f t="shared" si="9"/>
        <v>345.94</v>
      </c>
      <c r="H232" s="27"/>
      <c r="I232" s="304"/>
      <c r="J232" s="304"/>
      <c r="K232" s="308"/>
      <c r="L232" s="21"/>
      <c r="M232" s="21"/>
      <c r="N232" s="21"/>
      <c r="O232" s="21"/>
      <c r="P232" s="21"/>
      <c r="Q232" s="21"/>
      <c r="R232" s="21"/>
      <c r="S232" s="20"/>
      <c r="T232" s="335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  <c r="BH232" s="31"/>
      <c r="BI232" s="31"/>
      <c r="BJ232" s="31"/>
      <c r="BK232" s="31"/>
      <c r="BL232" s="31"/>
      <c r="BM232" s="31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1"/>
      <c r="CW232" s="31"/>
      <c r="CX232" s="31"/>
      <c r="CY232" s="31"/>
      <c r="CZ232" s="31"/>
      <c r="DA232" s="31"/>
      <c r="DB232" s="31"/>
      <c r="DC232" s="31"/>
      <c r="DD232" s="31"/>
      <c r="DE232" s="31"/>
      <c r="DF232" s="31"/>
      <c r="DG232" s="31"/>
      <c r="DH232" s="31"/>
      <c r="DI232" s="31"/>
    </row>
    <row r="233" spans="1:113" s="22" customFormat="1" ht="33" customHeight="1" x14ac:dyDescent="0.2">
      <c r="A233" s="375" t="s">
        <v>104</v>
      </c>
      <c r="B233" s="426" t="s">
        <v>105</v>
      </c>
      <c r="C233" s="426"/>
      <c r="D233" s="28" t="s">
        <v>94</v>
      </c>
      <c r="E233" s="13">
        <f>286.6*1.055*1.05</f>
        <v>317.48</v>
      </c>
      <c r="F233" s="14">
        <f t="shared" si="8"/>
        <v>63.5</v>
      </c>
      <c r="G233" s="14">
        <f t="shared" si="9"/>
        <v>380.98</v>
      </c>
      <c r="H233" s="27"/>
      <c r="I233" s="304"/>
      <c r="J233" s="304"/>
      <c r="K233" s="308"/>
      <c r="L233" s="21"/>
      <c r="M233" s="21"/>
      <c r="N233" s="21"/>
      <c r="O233" s="21"/>
      <c r="P233" s="21"/>
      <c r="Q233" s="21"/>
      <c r="R233" s="21"/>
      <c r="S233" s="20"/>
      <c r="T233" s="335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  <c r="BH233" s="31"/>
      <c r="BI233" s="31"/>
      <c r="BJ233" s="31"/>
      <c r="BK233" s="31"/>
      <c r="BL233" s="31"/>
      <c r="BM233" s="31"/>
      <c r="BN233" s="31"/>
      <c r="BO233" s="31"/>
      <c r="BP233" s="31"/>
      <c r="BQ233" s="31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1"/>
      <c r="CW233" s="31"/>
      <c r="CX233" s="31"/>
      <c r="CY233" s="31"/>
      <c r="CZ233" s="31"/>
      <c r="DA233" s="31"/>
      <c r="DB233" s="31"/>
      <c r="DC233" s="31"/>
      <c r="DD233" s="31"/>
      <c r="DE233" s="31"/>
      <c r="DF233" s="31"/>
      <c r="DG233" s="31"/>
      <c r="DH233" s="31"/>
      <c r="DI233" s="31"/>
    </row>
    <row r="234" spans="1:113" s="22" customFormat="1" ht="33.75" customHeight="1" x14ac:dyDescent="0.2">
      <c r="A234" s="375" t="s">
        <v>106</v>
      </c>
      <c r="B234" s="426" t="s">
        <v>107</v>
      </c>
      <c r="C234" s="426"/>
      <c r="D234" s="28" t="s">
        <v>94</v>
      </c>
      <c r="E234" s="13">
        <f>73.93*1.055*1.05</f>
        <v>81.900000000000006</v>
      </c>
      <c r="F234" s="14">
        <f>E234*20%</f>
        <v>16.38</v>
      </c>
      <c r="G234" s="14">
        <f t="shared" si="9"/>
        <v>98.28</v>
      </c>
      <c r="H234" s="27"/>
      <c r="I234" s="304"/>
      <c r="J234" s="304"/>
      <c r="K234" s="308"/>
      <c r="L234" s="21"/>
      <c r="M234" s="21"/>
      <c r="N234" s="21"/>
      <c r="O234" s="21"/>
      <c r="P234" s="21"/>
      <c r="Q234" s="21"/>
      <c r="R234" s="21"/>
      <c r="S234" s="20"/>
      <c r="T234" s="335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1"/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  <c r="CU234" s="31"/>
      <c r="CV234" s="31"/>
      <c r="CW234" s="31"/>
      <c r="CX234" s="31"/>
      <c r="CY234" s="31"/>
      <c r="CZ234" s="31"/>
      <c r="DA234" s="31"/>
      <c r="DB234" s="31"/>
      <c r="DC234" s="31"/>
      <c r="DD234" s="31"/>
      <c r="DE234" s="31"/>
      <c r="DF234" s="31"/>
      <c r="DG234" s="31"/>
      <c r="DH234" s="31"/>
      <c r="DI234" s="31"/>
    </row>
    <row r="235" spans="1:113" s="22" customFormat="1" ht="23.25" customHeight="1" x14ac:dyDescent="0.2">
      <c r="A235" s="375" t="s">
        <v>108</v>
      </c>
      <c r="B235" s="434" t="s">
        <v>109</v>
      </c>
      <c r="C235" s="434"/>
      <c r="D235" s="434"/>
      <c r="E235" s="434"/>
      <c r="F235" s="434"/>
      <c r="G235" s="434"/>
      <c r="H235" s="27"/>
      <c r="I235" s="304"/>
      <c r="J235" s="304"/>
      <c r="K235" s="308"/>
      <c r="L235" s="21"/>
      <c r="M235" s="21"/>
      <c r="N235" s="21"/>
      <c r="O235" s="21"/>
      <c r="P235" s="21"/>
      <c r="Q235" s="21"/>
      <c r="R235" s="21"/>
      <c r="S235" s="20"/>
      <c r="T235" s="335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  <c r="BH235" s="31"/>
      <c r="BI235" s="31"/>
      <c r="BJ235" s="31"/>
      <c r="BK235" s="31"/>
      <c r="BL235" s="31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1"/>
      <c r="CW235" s="31"/>
      <c r="CX235" s="31"/>
      <c r="CY235" s="31"/>
      <c r="CZ235" s="31"/>
      <c r="DA235" s="31"/>
      <c r="DB235" s="31"/>
      <c r="DC235" s="31"/>
      <c r="DD235" s="31"/>
      <c r="DE235" s="31"/>
      <c r="DF235" s="31"/>
      <c r="DG235" s="31"/>
      <c r="DH235" s="31"/>
      <c r="DI235" s="31"/>
    </row>
    <row r="236" spans="1:113" s="22" customFormat="1" ht="33" customHeight="1" x14ac:dyDescent="0.2">
      <c r="A236" s="375" t="s">
        <v>110</v>
      </c>
      <c r="B236" s="426" t="s">
        <v>111</v>
      </c>
      <c r="C236" s="426"/>
      <c r="D236" s="28" t="s">
        <v>94</v>
      </c>
      <c r="E236" s="13">
        <f>54.21*1.055*1.05</f>
        <v>60.05</v>
      </c>
      <c r="F236" s="14">
        <f>E236*20%</f>
        <v>12.01</v>
      </c>
      <c r="G236" s="14">
        <f>E236+F236</f>
        <v>72.06</v>
      </c>
      <c r="H236" s="27"/>
      <c r="I236" s="304"/>
      <c r="J236" s="304"/>
      <c r="K236" s="308"/>
      <c r="L236" s="21"/>
      <c r="M236" s="21"/>
      <c r="N236" s="21"/>
      <c r="O236" s="21"/>
      <c r="P236" s="21"/>
      <c r="Q236" s="21"/>
      <c r="R236" s="21"/>
      <c r="S236" s="20"/>
      <c r="T236" s="335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1"/>
      <c r="BH236" s="31"/>
      <c r="BI236" s="31"/>
      <c r="BJ236" s="31"/>
      <c r="BK236" s="31"/>
      <c r="BL236" s="31"/>
      <c r="BM236" s="31"/>
      <c r="BN236" s="31"/>
      <c r="BO236" s="31"/>
      <c r="BP236" s="31"/>
      <c r="BQ236" s="31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1"/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  <c r="CU236" s="31"/>
      <c r="CV236" s="31"/>
      <c r="CW236" s="31"/>
      <c r="CX236" s="31"/>
      <c r="CY236" s="31"/>
      <c r="CZ236" s="31"/>
      <c r="DA236" s="31"/>
      <c r="DB236" s="31"/>
      <c r="DC236" s="31"/>
      <c r="DD236" s="31"/>
      <c r="DE236" s="31"/>
      <c r="DF236" s="31"/>
      <c r="DG236" s="31"/>
      <c r="DH236" s="31"/>
      <c r="DI236" s="31"/>
    </row>
    <row r="237" spans="1:113" s="22" customFormat="1" ht="29.25" customHeight="1" x14ac:dyDescent="0.2">
      <c r="A237" s="375" t="s">
        <v>112</v>
      </c>
      <c r="B237" s="426" t="s">
        <v>113</v>
      </c>
      <c r="C237" s="426"/>
      <c r="D237" s="28" t="s">
        <v>94</v>
      </c>
      <c r="E237" s="13">
        <f>64.04*1.055*1.05</f>
        <v>70.94</v>
      </c>
      <c r="F237" s="14">
        <f>E237*20%</f>
        <v>14.19</v>
      </c>
      <c r="G237" s="14">
        <f>E237+F237</f>
        <v>85.13</v>
      </c>
      <c r="H237" s="27"/>
      <c r="I237" s="304"/>
      <c r="J237" s="304"/>
      <c r="K237" s="308"/>
      <c r="L237" s="21"/>
      <c r="M237" s="21"/>
      <c r="N237" s="21"/>
      <c r="O237" s="21"/>
      <c r="P237" s="21"/>
      <c r="Q237" s="21"/>
      <c r="R237" s="21"/>
      <c r="S237" s="20"/>
      <c r="T237" s="335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  <c r="BH237" s="31"/>
      <c r="BI237" s="31"/>
      <c r="BJ237" s="31"/>
      <c r="BK237" s="31"/>
      <c r="BL237" s="31"/>
      <c r="BM237" s="31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  <c r="CW237" s="31"/>
      <c r="CX237" s="31"/>
      <c r="CY237" s="31"/>
      <c r="CZ237" s="31"/>
      <c r="DA237" s="31"/>
      <c r="DB237" s="31"/>
      <c r="DC237" s="31"/>
      <c r="DD237" s="31"/>
      <c r="DE237" s="31"/>
      <c r="DF237" s="31"/>
      <c r="DG237" s="31"/>
      <c r="DH237" s="31"/>
      <c r="DI237" s="31"/>
    </row>
    <row r="238" spans="1:113" s="22" customFormat="1" ht="29.25" customHeight="1" x14ac:dyDescent="0.2">
      <c r="A238" s="375" t="s">
        <v>114</v>
      </c>
      <c r="B238" s="426" t="s">
        <v>115</v>
      </c>
      <c r="C238" s="426"/>
      <c r="D238" s="28" t="s">
        <v>116</v>
      </c>
      <c r="E238" s="13">
        <f>137.51*1.055*1.05</f>
        <v>152.33000000000001</v>
      </c>
      <c r="F238" s="14">
        <f>E238*20%</f>
        <v>30.47</v>
      </c>
      <c r="G238" s="14">
        <f>E238+F238</f>
        <v>182.8</v>
      </c>
      <c r="H238" s="29"/>
      <c r="I238" s="304"/>
      <c r="J238" s="304"/>
      <c r="K238" s="308"/>
      <c r="L238" s="21"/>
      <c r="M238" s="21"/>
      <c r="N238" s="21"/>
      <c r="O238" s="21"/>
      <c r="P238" s="21"/>
      <c r="Q238" s="21"/>
      <c r="R238" s="21"/>
      <c r="S238" s="20"/>
      <c r="T238" s="335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1"/>
      <c r="CW238" s="31"/>
      <c r="CX238" s="31"/>
      <c r="CY238" s="31"/>
      <c r="CZ238" s="31"/>
      <c r="DA238" s="31"/>
      <c r="DB238" s="31"/>
      <c r="DC238" s="31"/>
      <c r="DD238" s="31"/>
      <c r="DE238" s="31"/>
      <c r="DF238" s="31"/>
      <c r="DG238" s="31"/>
      <c r="DH238" s="31"/>
      <c r="DI238" s="31"/>
    </row>
    <row r="239" spans="1:113" s="22" customFormat="1" ht="20.25" customHeight="1" x14ac:dyDescent="0.2">
      <c r="A239" s="375" t="s">
        <v>117</v>
      </c>
      <c r="B239" s="426" t="s">
        <v>118</v>
      </c>
      <c r="C239" s="426"/>
      <c r="D239" s="379" t="s">
        <v>119</v>
      </c>
      <c r="E239" s="13">
        <f>90.66*1.055*1.05</f>
        <v>100.43</v>
      </c>
      <c r="F239" s="14">
        <f>E239*20%</f>
        <v>20.09</v>
      </c>
      <c r="G239" s="14">
        <f>E239+F239</f>
        <v>120.52</v>
      </c>
      <c r="H239" s="29"/>
      <c r="I239" s="304"/>
      <c r="J239" s="304"/>
      <c r="K239" s="308"/>
      <c r="L239" s="21"/>
      <c r="M239" s="21"/>
      <c r="N239" s="21"/>
      <c r="O239" s="21"/>
      <c r="P239" s="21"/>
      <c r="Q239" s="21"/>
      <c r="R239" s="21"/>
      <c r="S239" s="20"/>
      <c r="T239" s="335"/>
      <c r="U239" s="31"/>
      <c r="V239" s="31"/>
      <c r="W239" s="2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  <c r="DG239" s="31"/>
      <c r="DH239" s="31"/>
      <c r="DI239" s="31"/>
    </row>
    <row r="240" spans="1:113" s="22" customFormat="1" ht="35.25" customHeight="1" x14ac:dyDescent="0.2">
      <c r="A240" s="375" t="s">
        <v>1732</v>
      </c>
      <c r="B240" s="426" t="s">
        <v>1735</v>
      </c>
      <c r="C240" s="426"/>
      <c r="D240" s="379" t="s">
        <v>19</v>
      </c>
      <c r="E240" s="13">
        <f>223.5*1.055*1.05</f>
        <v>247.58</v>
      </c>
      <c r="F240" s="14">
        <f>E240*20%</f>
        <v>49.52</v>
      </c>
      <c r="G240" s="14">
        <f>E240+F240</f>
        <v>297.10000000000002</v>
      </c>
      <c r="H240" s="29"/>
      <c r="I240" s="304"/>
      <c r="J240" s="304"/>
      <c r="K240" s="308"/>
      <c r="L240" s="21"/>
      <c r="M240" s="21"/>
      <c r="N240" s="21"/>
      <c r="O240" s="21"/>
      <c r="P240" s="21"/>
      <c r="Q240" s="21"/>
      <c r="R240" s="21"/>
      <c r="S240" s="20"/>
      <c r="T240" s="335"/>
      <c r="U240" s="31"/>
      <c r="V240" s="31"/>
      <c r="W240" s="2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31"/>
      <c r="BH240" s="31"/>
      <c r="BI240" s="31"/>
      <c r="BJ240" s="31"/>
      <c r="BK240" s="31"/>
      <c r="BL240" s="31"/>
      <c r="BM240" s="31"/>
      <c r="BN240" s="31"/>
      <c r="BO240" s="31"/>
      <c r="BP240" s="31"/>
      <c r="BQ240" s="31"/>
      <c r="BR240" s="31"/>
      <c r="BS240" s="31"/>
      <c r="BT240" s="31"/>
      <c r="BU240" s="31"/>
      <c r="BV240" s="31"/>
      <c r="BW240" s="31"/>
      <c r="BX240" s="31"/>
      <c r="BY240" s="31"/>
      <c r="BZ240" s="31"/>
      <c r="CA240" s="3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  <c r="CW240" s="31"/>
      <c r="CX240" s="31"/>
      <c r="CY240" s="31"/>
      <c r="CZ240" s="31"/>
      <c r="DA240" s="31"/>
      <c r="DB240" s="31"/>
      <c r="DC240" s="31"/>
      <c r="DD240" s="31"/>
      <c r="DE240" s="31"/>
      <c r="DF240" s="31"/>
      <c r="DG240" s="31"/>
      <c r="DH240" s="31"/>
      <c r="DI240" s="31"/>
    </row>
    <row r="241" spans="1:113" s="22" customFormat="1" ht="60.75" customHeight="1" thickBot="1" x14ac:dyDescent="0.25">
      <c r="A241" s="476" t="s">
        <v>2263</v>
      </c>
      <c r="B241" s="476"/>
      <c r="C241" s="476"/>
      <c r="D241" s="476"/>
      <c r="E241" s="476"/>
      <c r="F241" s="476"/>
      <c r="G241" s="476"/>
      <c r="H241" s="476"/>
      <c r="I241" s="329"/>
      <c r="J241" s="329"/>
      <c r="K241" s="330"/>
      <c r="L241" s="30"/>
      <c r="M241" s="30"/>
      <c r="N241" s="30"/>
      <c r="O241" s="30"/>
      <c r="P241" s="30"/>
      <c r="Q241" s="30"/>
      <c r="R241" s="30"/>
      <c r="S241" s="337"/>
      <c r="T241" s="335"/>
      <c r="U241" s="31"/>
      <c r="V241" s="31"/>
      <c r="W241" s="2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31"/>
      <c r="BH241" s="31"/>
      <c r="BI241" s="31"/>
      <c r="BJ241" s="31"/>
      <c r="BK241" s="31"/>
      <c r="BL241" s="31"/>
      <c r="BM241" s="31"/>
      <c r="BN241" s="31"/>
      <c r="BO241" s="31"/>
      <c r="BP241" s="31"/>
      <c r="BQ241" s="31"/>
      <c r="BR241" s="31"/>
      <c r="BS241" s="31"/>
      <c r="BT241" s="31"/>
      <c r="BU241" s="31"/>
      <c r="BV241" s="31"/>
      <c r="BW241" s="31"/>
      <c r="BX241" s="31"/>
      <c r="BY241" s="31"/>
      <c r="BZ241" s="31"/>
      <c r="CA241" s="31"/>
      <c r="CB241" s="31"/>
      <c r="CC241" s="31"/>
      <c r="CD241" s="31"/>
      <c r="CE241" s="477" t="s">
        <v>2264</v>
      </c>
      <c r="CF241" s="478"/>
      <c r="CG241" s="478"/>
      <c r="CH241" s="478"/>
      <c r="CI241" s="478"/>
      <c r="CJ241" s="478"/>
      <c r="CK241" s="478"/>
      <c r="CL241" s="479"/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  <c r="CW241" s="31"/>
      <c r="CX241" s="31"/>
      <c r="CY241" s="31"/>
      <c r="CZ241" s="31"/>
      <c r="DA241" s="31"/>
      <c r="DB241" s="31"/>
      <c r="DC241" s="31"/>
      <c r="DD241" s="31"/>
      <c r="DE241" s="31"/>
      <c r="DF241" s="31"/>
      <c r="DG241" s="31"/>
      <c r="DH241" s="31"/>
      <c r="DI241" s="31"/>
    </row>
    <row r="242" spans="1:113" s="22" customFormat="1" ht="29.25" customHeight="1" x14ac:dyDescent="0.2">
      <c r="A242" s="382"/>
      <c r="B242" s="382"/>
      <c r="C242" s="382"/>
      <c r="D242" s="382"/>
      <c r="E242" s="382"/>
      <c r="F242" s="382"/>
      <c r="G242" s="382"/>
      <c r="H242" s="382"/>
      <c r="I242" s="304"/>
      <c r="J242" s="304"/>
      <c r="K242" s="308"/>
      <c r="L242" s="21"/>
      <c r="M242" s="21"/>
      <c r="N242" s="21"/>
      <c r="O242" s="21"/>
      <c r="P242" s="21"/>
      <c r="Q242" s="21"/>
      <c r="R242" s="21"/>
      <c r="S242" s="21"/>
      <c r="T242" s="21"/>
      <c r="U242" s="31"/>
      <c r="V242" s="31"/>
      <c r="W242" s="2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31"/>
      <c r="BH242" s="31"/>
      <c r="BI242" s="31"/>
      <c r="BJ242" s="31"/>
      <c r="BK242" s="31"/>
      <c r="BL242" s="31"/>
      <c r="BM242" s="31"/>
      <c r="BN242" s="31"/>
      <c r="BO242" s="31"/>
      <c r="BP242" s="31"/>
      <c r="BQ242" s="31"/>
      <c r="BR242" s="31"/>
      <c r="BS242" s="31"/>
      <c r="BT242" s="31"/>
      <c r="BU242" s="31"/>
      <c r="BV242" s="31"/>
      <c r="BW242" s="31"/>
      <c r="BX242" s="31"/>
      <c r="BY242" s="31"/>
      <c r="BZ242" s="31"/>
      <c r="CA242" s="31"/>
      <c r="CB242" s="31"/>
      <c r="CC242" s="31"/>
      <c r="CD242" s="31"/>
      <c r="CE242" s="31"/>
      <c r="CF242" s="31"/>
      <c r="CG242" s="31"/>
      <c r="CH242" s="31"/>
      <c r="CI242" s="31"/>
      <c r="CJ242" s="31"/>
      <c r="CK242" s="31"/>
      <c r="CL242" s="31"/>
      <c r="CM242" s="31"/>
      <c r="CN242" s="31"/>
      <c r="CO242" s="31"/>
      <c r="CP242" s="31"/>
      <c r="CQ242" s="31"/>
      <c r="CR242" s="31"/>
      <c r="CS242" s="31"/>
      <c r="CT242" s="31"/>
      <c r="CU242" s="31"/>
      <c r="CV242" s="31"/>
      <c r="CW242" s="31"/>
      <c r="CX242" s="31"/>
      <c r="CY242" s="31"/>
      <c r="CZ242" s="31"/>
      <c r="DA242" s="31"/>
      <c r="DB242" s="31"/>
      <c r="DC242" s="31"/>
      <c r="DD242" s="31"/>
      <c r="DE242" s="31"/>
      <c r="DF242" s="31"/>
      <c r="DG242" s="31"/>
      <c r="DH242" s="31"/>
      <c r="DI242" s="31"/>
    </row>
    <row r="243" spans="1:113" s="22" customFormat="1" ht="21" customHeight="1" x14ac:dyDescent="0.2">
      <c r="A243" s="428" t="s">
        <v>120</v>
      </c>
      <c r="B243" s="428"/>
      <c r="C243" s="428"/>
      <c r="D243" s="428"/>
      <c r="E243" s="428"/>
      <c r="F243" s="428"/>
      <c r="G243" s="428"/>
      <c r="H243" s="31"/>
      <c r="I243" s="305" t="e">
        <f>#REF!*18%</f>
        <v>#REF!</v>
      </c>
      <c r="J243" s="305" t="e">
        <f>#REF!*1.18</f>
        <v>#REF!</v>
      </c>
      <c r="K243" s="326">
        <v>1.0549999999999999</v>
      </c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31"/>
      <c r="BH243" s="31"/>
      <c r="BI243" s="31"/>
      <c r="BJ243" s="31"/>
      <c r="BK243" s="31"/>
      <c r="BL243" s="31"/>
      <c r="BM243" s="31"/>
      <c r="BN243" s="31"/>
      <c r="BO243" s="31"/>
      <c r="BP243" s="31"/>
      <c r="BQ243" s="31"/>
      <c r="BR243" s="31"/>
      <c r="BS243" s="31"/>
      <c r="BT243" s="31"/>
      <c r="BU243" s="31"/>
      <c r="BV243" s="31"/>
      <c r="BW243" s="31"/>
      <c r="BX243" s="31"/>
      <c r="BY243" s="31"/>
      <c r="BZ243" s="31"/>
      <c r="CA243" s="31"/>
      <c r="CB243" s="31"/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  <c r="CU243" s="31"/>
      <c r="CV243" s="31"/>
      <c r="CW243" s="31"/>
      <c r="CX243" s="31"/>
      <c r="CY243" s="31"/>
      <c r="CZ243" s="31"/>
      <c r="DA243" s="31"/>
      <c r="DB243" s="31"/>
      <c r="DC243" s="31"/>
      <c r="DD243" s="31"/>
      <c r="DE243" s="31"/>
      <c r="DF243" s="31"/>
      <c r="DG243" s="31"/>
      <c r="DH243" s="31"/>
      <c r="DI243" s="31"/>
    </row>
    <row r="244" spans="1:113" s="22" customFormat="1" ht="8.25" customHeight="1" x14ac:dyDescent="0.2">
      <c r="A244" s="32"/>
      <c r="B244" s="33"/>
      <c r="C244" s="34"/>
      <c r="D244" s="35"/>
      <c r="E244" s="35"/>
      <c r="F244" s="36"/>
      <c r="G244" s="36"/>
      <c r="H244" s="31"/>
      <c r="I244" s="305" t="e">
        <f>#REF!*18%</f>
        <v>#REF!</v>
      </c>
      <c r="J244" s="305" t="e">
        <f>#REF!*1.18</f>
        <v>#REF!</v>
      </c>
      <c r="K244" s="326">
        <v>1.0549999999999999</v>
      </c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31"/>
      <c r="BH244" s="31"/>
      <c r="BI244" s="31"/>
      <c r="BJ244" s="31"/>
      <c r="BK244" s="31"/>
      <c r="BL244" s="31"/>
      <c r="BM244" s="31"/>
      <c r="BN244" s="31"/>
      <c r="BO244" s="31"/>
      <c r="BP244" s="31"/>
      <c r="BQ244" s="31"/>
      <c r="BR244" s="31"/>
      <c r="BS244" s="31"/>
      <c r="BT244" s="31"/>
      <c r="BU244" s="31"/>
      <c r="BV244" s="31"/>
      <c r="BW244" s="31"/>
      <c r="BX244" s="31"/>
      <c r="BY244" s="31"/>
      <c r="BZ244" s="31"/>
      <c r="CA244" s="31"/>
      <c r="CB244" s="31"/>
      <c r="CC244" s="31"/>
      <c r="CD244" s="31"/>
      <c r="CE244" s="31"/>
      <c r="CF244" s="31"/>
      <c r="CG244" s="31"/>
      <c r="CH244" s="31"/>
      <c r="CI244" s="31"/>
      <c r="CJ244" s="31"/>
      <c r="CK244" s="31"/>
      <c r="CL244" s="31"/>
      <c r="CM244" s="31"/>
      <c r="CN244" s="31"/>
      <c r="CO244" s="31"/>
      <c r="CP244" s="31"/>
      <c r="CQ244" s="31"/>
      <c r="CR244" s="31"/>
      <c r="CS244" s="31"/>
      <c r="CT244" s="31"/>
      <c r="CU244" s="31"/>
      <c r="CV244" s="31"/>
      <c r="CW244" s="31"/>
      <c r="CX244" s="31"/>
      <c r="CY244" s="31"/>
      <c r="CZ244" s="31"/>
      <c r="DA244" s="31"/>
      <c r="DB244" s="31"/>
      <c r="DC244" s="31"/>
      <c r="DD244" s="31"/>
      <c r="DE244" s="31"/>
      <c r="DF244" s="31"/>
      <c r="DG244" s="31"/>
      <c r="DH244" s="31"/>
      <c r="DI244" s="31"/>
    </row>
    <row r="245" spans="1:113" s="22" customFormat="1" ht="69.75" customHeight="1" x14ac:dyDescent="0.2">
      <c r="A245" s="380" t="s">
        <v>121</v>
      </c>
      <c r="B245" s="380" t="s">
        <v>122</v>
      </c>
      <c r="C245" s="429" t="s">
        <v>123</v>
      </c>
      <c r="D245" s="429"/>
      <c r="E245" s="386" t="s">
        <v>10</v>
      </c>
      <c r="F245" s="8" t="s">
        <v>11</v>
      </c>
      <c r="G245" s="386" t="s">
        <v>12</v>
      </c>
      <c r="H245" s="31"/>
      <c r="I245" s="305" t="e">
        <f>#REF!*18%</f>
        <v>#REF!</v>
      </c>
      <c r="J245" s="305" t="e">
        <f>#REF!*1.18</f>
        <v>#REF!</v>
      </c>
      <c r="K245" s="326">
        <v>1.0549999999999999</v>
      </c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31"/>
      <c r="BH245" s="31"/>
      <c r="BI245" s="31"/>
      <c r="BJ245" s="31"/>
      <c r="BK245" s="31"/>
      <c r="BL245" s="31"/>
      <c r="BM245" s="31"/>
      <c r="BN245" s="31"/>
      <c r="BO245" s="31"/>
      <c r="BP245" s="31"/>
      <c r="BQ245" s="31"/>
      <c r="BR245" s="31"/>
      <c r="BS245" s="31"/>
      <c r="BT245" s="31"/>
      <c r="BU245" s="31"/>
      <c r="BV245" s="31"/>
      <c r="BW245" s="31"/>
      <c r="BX245" s="31"/>
      <c r="BY245" s="31"/>
      <c r="BZ245" s="31"/>
      <c r="CA245" s="31"/>
      <c r="CB245" s="31"/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  <c r="CU245" s="31"/>
      <c r="CV245" s="31"/>
      <c r="CW245" s="31"/>
      <c r="CX245" s="31"/>
      <c r="CY245" s="31"/>
      <c r="CZ245" s="31"/>
      <c r="DA245" s="31"/>
      <c r="DB245" s="31"/>
      <c r="DC245" s="31"/>
      <c r="DD245" s="31"/>
      <c r="DE245" s="31"/>
      <c r="DF245" s="31"/>
      <c r="DG245" s="31"/>
      <c r="DH245" s="31"/>
      <c r="DI245" s="31"/>
    </row>
    <row r="246" spans="1:113" s="22" customFormat="1" ht="15.75" customHeight="1" x14ac:dyDescent="0.2">
      <c r="A246" s="383">
        <v>1</v>
      </c>
      <c r="B246" s="383">
        <v>2</v>
      </c>
      <c r="C246" s="480">
        <v>4</v>
      </c>
      <c r="D246" s="480"/>
      <c r="E246" s="37">
        <v>5</v>
      </c>
      <c r="F246" s="37">
        <v>6</v>
      </c>
      <c r="G246" s="37">
        <v>7</v>
      </c>
      <c r="H246" s="31"/>
      <c r="I246" s="305"/>
      <c r="J246" s="305"/>
      <c r="K246" s="326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1"/>
      <c r="BH246" s="31"/>
      <c r="BI246" s="31"/>
      <c r="BJ246" s="31"/>
      <c r="BK246" s="31"/>
      <c r="BL246" s="31"/>
      <c r="BM246" s="31"/>
      <c r="BN246" s="31"/>
      <c r="BO246" s="31"/>
      <c r="BP246" s="31"/>
      <c r="BQ246" s="31"/>
      <c r="BR246" s="31"/>
      <c r="BS246" s="31"/>
      <c r="BT246" s="31"/>
      <c r="BU246" s="31"/>
      <c r="BV246" s="31"/>
      <c r="BW246" s="31"/>
      <c r="BX246" s="31"/>
      <c r="BY246" s="31"/>
      <c r="BZ246" s="31"/>
      <c r="CA246" s="31"/>
      <c r="CB246" s="31"/>
      <c r="CC246" s="31"/>
      <c r="CD246" s="31"/>
      <c r="CE246" s="31"/>
      <c r="CF246" s="31"/>
      <c r="CG246" s="31"/>
      <c r="CH246" s="31"/>
      <c r="CI246" s="31"/>
      <c r="CJ246" s="31"/>
      <c r="CK246" s="31"/>
      <c r="CL246" s="31"/>
      <c r="CM246" s="31"/>
      <c r="CN246" s="31"/>
      <c r="CO246" s="31"/>
      <c r="CP246" s="31"/>
      <c r="CQ246" s="31"/>
      <c r="CR246" s="31"/>
      <c r="CS246" s="31"/>
      <c r="CT246" s="31"/>
      <c r="CU246" s="31"/>
      <c r="CV246" s="31"/>
      <c r="CW246" s="31"/>
      <c r="CX246" s="31"/>
      <c r="CY246" s="31"/>
      <c r="CZ246" s="31"/>
      <c r="DA246" s="31"/>
      <c r="DB246" s="31"/>
      <c r="DC246" s="31"/>
      <c r="DD246" s="31"/>
      <c r="DE246" s="31"/>
      <c r="DF246" s="31"/>
      <c r="DG246" s="31"/>
      <c r="DH246" s="31"/>
      <c r="DI246" s="31"/>
    </row>
    <row r="247" spans="1:113" s="22" customFormat="1" ht="43.5" customHeight="1" x14ac:dyDescent="0.2">
      <c r="A247" s="38">
        <v>1</v>
      </c>
      <c r="B247" s="42" t="s">
        <v>124</v>
      </c>
      <c r="C247" s="471" t="s">
        <v>1733</v>
      </c>
      <c r="D247" s="471"/>
      <c r="E247" s="40">
        <f>313.39*1.055*1.05</f>
        <v>347.16</v>
      </c>
      <c r="F247" s="14">
        <f t="shared" ref="F247:F254" si="10">E247*20%</f>
        <v>69.430000000000007</v>
      </c>
      <c r="G247" s="14">
        <f t="shared" ref="G247:G254" si="11">E247+F247</f>
        <v>416.59</v>
      </c>
      <c r="H247" s="31"/>
      <c r="I247" s="305"/>
      <c r="J247" s="305"/>
      <c r="K247" s="326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31"/>
      <c r="BH247" s="31"/>
      <c r="BI247" s="31"/>
      <c r="BJ247" s="31"/>
      <c r="BK247" s="31"/>
      <c r="BL247" s="31"/>
      <c r="BM247" s="31"/>
      <c r="BN247" s="31"/>
      <c r="BO247" s="31"/>
      <c r="BP247" s="31"/>
      <c r="BQ247" s="31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  <c r="CB247" s="31"/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1"/>
      <c r="CW247" s="31"/>
      <c r="CX247" s="31"/>
      <c r="CY247" s="31"/>
      <c r="CZ247" s="31"/>
      <c r="DA247" s="31"/>
      <c r="DB247" s="31"/>
      <c r="DC247" s="31"/>
      <c r="DD247" s="31"/>
      <c r="DE247" s="31"/>
      <c r="DF247" s="31"/>
      <c r="DG247" s="31"/>
      <c r="DH247" s="31"/>
      <c r="DI247" s="31"/>
    </row>
    <row r="248" spans="1:113" s="22" customFormat="1" ht="40.5" customHeight="1" x14ac:dyDescent="0.2">
      <c r="A248" s="38">
        <v>2</v>
      </c>
      <c r="B248" s="42" t="s">
        <v>124</v>
      </c>
      <c r="C248" s="471" t="s">
        <v>1734</v>
      </c>
      <c r="D248" s="471"/>
      <c r="E248" s="40">
        <f>626.78*1.055*1.05</f>
        <v>694.32</v>
      </c>
      <c r="F248" s="14">
        <f t="shared" si="10"/>
        <v>138.86000000000001</v>
      </c>
      <c r="G248" s="14">
        <f t="shared" si="11"/>
        <v>833.18</v>
      </c>
      <c r="H248" s="2" t="s">
        <v>125</v>
      </c>
      <c r="I248" s="305"/>
      <c r="J248" s="305"/>
      <c r="K248" s="326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1"/>
      <c r="BH248" s="31"/>
      <c r="BI248" s="31"/>
      <c r="BJ248" s="31"/>
      <c r="BK248" s="31"/>
      <c r="BL248" s="31"/>
      <c r="BM248" s="31"/>
      <c r="BN248" s="31"/>
      <c r="BO248" s="31"/>
      <c r="BP248" s="31"/>
      <c r="BQ248" s="31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  <c r="CB248" s="31"/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1"/>
      <c r="CW248" s="31"/>
      <c r="CX248" s="31"/>
      <c r="CY248" s="31"/>
      <c r="CZ248" s="31"/>
      <c r="DA248" s="31"/>
      <c r="DB248" s="31"/>
      <c r="DC248" s="31"/>
      <c r="DD248" s="31"/>
      <c r="DE248" s="31"/>
      <c r="DF248" s="31"/>
      <c r="DG248" s="31"/>
      <c r="DH248" s="31"/>
      <c r="DI248" s="31"/>
    </row>
    <row r="249" spans="1:113" s="22" customFormat="1" ht="40.5" customHeight="1" x14ac:dyDescent="0.2">
      <c r="A249" s="38">
        <v>3</v>
      </c>
      <c r="B249" s="42" t="s">
        <v>126</v>
      </c>
      <c r="C249" s="471" t="s">
        <v>1733</v>
      </c>
      <c r="D249" s="471"/>
      <c r="E249" s="40">
        <f>458.15*1.055*1.05</f>
        <v>507.52</v>
      </c>
      <c r="F249" s="14">
        <f t="shared" si="10"/>
        <v>101.5</v>
      </c>
      <c r="G249" s="14">
        <f t="shared" si="11"/>
        <v>609.02</v>
      </c>
      <c r="H249" s="2"/>
      <c r="I249" s="305"/>
      <c r="J249" s="305"/>
      <c r="K249" s="326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31"/>
      <c r="BH249" s="31"/>
      <c r="BI249" s="31"/>
      <c r="BJ249" s="31"/>
      <c r="BK249" s="31"/>
      <c r="BL249" s="31"/>
      <c r="BM249" s="31"/>
      <c r="BN249" s="31"/>
      <c r="BO249" s="31"/>
      <c r="BP249" s="31"/>
      <c r="BQ249" s="31"/>
      <c r="BR249" s="31"/>
      <c r="BS249" s="31"/>
      <c r="BT249" s="31"/>
      <c r="BU249" s="31"/>
      <c r="BV249" s="31"/>
      <c r="BW249" s="31"/>
      <c r="BX249" s="31"/>
      <c r="BY249" s="31"/>
      <c r="BZ249" s="31"/>
      <c r="CA249" s="31"/>
      <c r="CB249" s="31"/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  <c r="CU249" s="31"/>
      <c r="CV249" s="31"/>
      <c r="CW249" s="31"/>
      <c r="CX249" s="31"/>
      <c r="CY249" s="31"/>
      <c r="CZ249" s="31"/>
      <c r="DA249" s="31"/>
      <c r="DB249" s="31"/>
      <c r="DC249" s="31"/>
      <c r="DD249" s="31"/>
      <c r="DE249" s="31"/>
      <c r="DF249" s="31"/>
      <c r="DG249" s="31"/>
      <c r="DH249" s="31"/>
      <c r="DI249" s="31"/>
    </row>
    <row r="250" spans="1:113" s="15" customFormat="1" ht="42" customHeight="1" x14ac:dyDescent="0.2">
      <c r="A250" s="38">
        <v>4</v>
      </c>
      <c r="B250" s="42" t="s">
        <v>126</v>
      </c>
      <c r="C250" s="471" t="s">
        <v>1734</v>
      </c>
      <c r="D250" s="471"/>
      <c r="E250" s="40">
        <f>885.35*1.055*1.05</f>
        <v>980.75</v>
      </c>
      <c r="F250" s="14">
        <f t="shared" si="10"/>
        <v>196.15</v>
      </c>
      <c r="G250" s="14">
        <f t="shared" si="11"/>
        <v>1176.9000000000001</v>
      </c>
      <c r="H250" s="2" t="s">
        <v>125</v>
      </c>
      <c r="I250" s="305" t="e">
        <f>#REF!*18%</f>
        <v>#REF!</v>
      </c>
      <c r="J250" s="305" t="e">
        <f>#REF!*1.18</f>
        <v>#REF!</v>
      </c>
      <c r="K250" s="326">
        <v>1.0549999999999999</v>
      </c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</row>
    <row r="251" spans="1:113" s="15" customFormat="1" ht="42" customHeight="1" x14ac:dyDescent="0.2">
      <c r="A251" s="38">
        <v>5</v>
      </c>
      <c r="B251" s="42" t="s">
        <v>127</v>
      </c>
      <c r="C251" s="471" t="s">
        <v>1733</v>
      </c>
      <c r="D251" s="471"/>
      <c r="E251" s="40">
        <f>237.28*1.055*1.05</f>
        <v>262.85000000000002</v>
      </c>
      <c r="F251" s="14">
        <f t="shared" si="10"/>
        <v>52.57</v>
      </c>
      <c r="G251" s="14">
        <f t="shared" si="11"/>
        <v>315.42</v>
      </c>
      <c r="H251" s="2"/>
      <c r="I251" s="305"/>
      <c r="J251" s="305"/>
      <c r="K251" s="326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</row>
    <row r="252" spans="1:113" s="15" customFormat="1" ht="46.5" customHeight="1" x14ac:dyDescent="0.2">
      <c r="A252" s="38">
        <v>6</v>
      </c>
      <c r="B252" s="42" t="s">
        <v>127</v>
      </c>
      <c r="C252" s="471" t="s">
        <v>1734</v>
      </c>
      <c r="D252" s="471"/>
      <c r="E252" s="40">
        <f>474.56*1.055*1.05</f>
        <v>525.69000000000005</v>
      </c>
      <c r="F252" s="14">
        <f t="shared" si="10"/>
        <v>105.14</v>
      </c>
      <c r="G252" s="14">
        <f t="shared" si="11"/>
        <v>630.83000000000004</v>
      </c>
      <c r="H252" s="2" t="s">
        <v>125</v>
      </c>
      <c r="I252" s="305" t="e">
        <f>#REF!*18%</f>
        <v>#REF!</v>
      </c>
      <c r="J252" s="305" t="e">
        <f>#REF!*1.18</f>
        <v>#REF!</v>
      </c>
      <c r="K252" s="326">
        <v>1.0549999999999999</v>
      </c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</row>
    <row r="253" spans="1:113" s="15" customFormat="1" ht="46.5" customHeight="1" x14ac:dyDescent="0.2">
      <c r="A253" s="38">
        <v>7</v>
      </c>
      <c r="B253" s="42" t="s">
        <v>128</v>
      </c>
      <c r="C253" s="471" t="s">
        <v>1733</v>
      </c>
      <c r="D253" s="471"/>
      <c r="E253" s="40">
        <f>575.92*1.055*1.05</f>
        <v>637.98</v>
      </c>
      <c r="F253" s="14">
        <f t="shared" si="10"/>
        <v>127.6</v>
      </c>
      <c r="G253" s="14">
        <f t="shared" si="11"/>
        <v>765.58</v>
      </c>
      <c r="H253" s="2"/>
      <c r="I253" s="305"/>
      <c r="J253" s="305"/>
      <c r="K253" s="326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</row>
    <row r="254" spans="1:113" s="15" customFormat="1" ht="44.25" customHeight="1" x14ac:dyDescent="0.2">
      <c r="A254" s="38">
        <v>8</v>
      </c>
      <c r="B254" s="42" t="s">
        <v>128</v>
      </c>
      <c r="C254" s="471" t="s">
        <v>1734</v>
      </c>
      <c r="D254" s="471"/>
      <c r="E254" s="40">
        <f>1098.15*1.055*1.05</f>
        <v>1216.48</v>
      </c>
      <c r="F254" s="14">
        <f t="shared" si="10"/>
        <v>243.3</v>
      </c>
      <c r="G254" s="14">
        <f t="shared" si="11"/>
        <v>1459.78</v>
      </c>
      <c r="H254" s="2"/>
      <c r="I254" s="305" t="e">
        <f>#REF!*18%</f>
        <v>#REF!</v>
      </c>
      <c r="J254" s="305" t="e">
        <f>#REF!*1.18</f>
        <v>#REF!</v>
      </c>
      <c r="K254" s="326">
        <v>1.0549999999999999</v>
      </c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</row>
    <row r="255" spans="1:113" s="15" customFormat="1" ht="6" customHeight="1" x14ac:dyDescent="0.2">
      <c r="A255" s="43"/>
      <c r="B255" s="44"/>
      <c r="C255" s="45"/>
      <c r="D255" s="45"/>
      <c r="E255" s="46"/>
      <c r="F255" s="47"/>
      <c r="G255" s="48"/>
      <c r="H255" s="2"/>
      <c r="I255" s="305" t="e">
        <f>#REF!*18%</f>
        <v>#REF!</v>
      </c>
      <c r="J255" s="305" t="e">
        <f>#REF!*1.18</f>
        <v>#REF!</v>
      </c>
      <c r="K255" s="326">
        <v>1.0549999999999999</v>
      </c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</row>
    <row r="256" spans="1:113" s="15" customFormat="1" ht="36" hidden="1" customHeight="1" thickBot="1" x14ac:dyDescent="0.4">
      <c r="A256" s="472" t="s">
        <v>129</v>
      </c>
      <c r="B256" s="473"/>
      <c r="C256" s="473"/>
      <c r="D256" s="473"/>
      <c r="E256" s="473"/>
      <c r="F256" s="473"/>
      <c r="G256" s="474"/>
      <c r="H256" s="331" t="s">
        <v>130</v>
      </c>
      <c r="I256" s="332" t="e">
        <f>#REF!*18%</f>
        <v>#REF!</v>
      </c>
      <c r="J256" s="332" t="e">
        <f>#REF!*1.18</f>
        <v>#REF!</v>
      </c>
      <c r="K256" s="333">
        <v>1.0549999999999999</v>
      </c>
      <c r="L256" s="331"/>
      <c r="M256" s="331"/>
      <c r="N256" s="331"/>
      <c r="O256" s="331"/>
      <c r="P256" s="331"/>
      <c r="Q256" s="331"/>
      <c r="R256" s="331"/>
      <c r="S256" s="331"/>
      <c r="T256" s="331"/>
      <c r="U256" s="331"/>
      <c r="V256" s="331"/>
      <c r="W256" s="331"/>
      <c r="X256" s="331"/>
      <c r="Y256" s="331"/>
      <c r="Z256" s="331"/>
      <c r="AA256" s="331"/>
      <c r="AB256" s="331"/>
      <c r="AC256" s="331"/>
      <c r="AD256" s="331"/>
      <c r="AE256" s="331"/>
      <c r="AF256" s="331"/>
      <c r="AG256" s="331"/>
      <c r="AH256" s="331"/>
      <c r="AI256" s="331"/>
      <c r="AJ256" s="331"/>
      <c r="AK256" s="331"/>
      <c r="AL256" s="331"/>
      <c r="AM256" s="331"/>
      <c r="AN256" s="331"/>
      <c r="AO256" s="331"/>
      <c r="AP256" s="331"/>
      <c r="AQ256" s="331"/>
      <c r="AR256" s="331"/>
      <c r="AS256" s="331"/>
      <c r="AT256" s="331"/>
      <c r="AU256" s="331"/>
      <c r="AV256" s="331"/>
      <c r="AW256" s="331"/>
      <c r="AX256" s="331"/>
      <c r="AY256" s="331"/>
      <c r="AZ256" s="331"/>
      <c r="BA256" s="331"/>
      <c r="BB256" s="331"/>
      <c r="BC256" s="331"/>
      <c r="BD256" s="331"/>
      <c r="BE256" s="331"/>
      <c r="BF256" s="331"/>
      <c r="BG256" s="331"/>
      <c r="BH256" s="331"/>
      <c r="BI256" s="331"/>
      <c r="BJ256" s="331"/>
      <c r="BK256" s="331"/>
      <c r="BL256" s="331"/>
      <c r="BM256" s="331"/>
      <c r="BN256" s="331"/>
      <c r="BO256" s="331"/>
      <c r="BP256" s="331"/>
      <c r="BQ256" s="331"/>
      <c r="BR256" s="331"/>
      <c r="BS256" s="331"/>
      <c r="BT256" s="331"/>
      <c r="BU256" s="331"/>
      <c r="BV256" s="331"/>
      <c r="BW256" s="331"/>
      <c r="BX256" s="331"/>
      <c r="BY256" s="331"/>
      <c r="BZ256" s="331"/>
      <c r="CA256" s="331"/>
      <c r="CB256" s="331"/>
      <c r="CC256" s="331"/>
      <c r="CD256" s="331"/>
      <c r="CE256" s="331"/>
      <c r="CF256" s="331"/>
      <c r="CG256" s="331"/>
      <c r="CH256" s="331"/>
      <c r="CI256" s="331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</row>
    <row r="257" spans="1:113" s="15" customFormat="1" ht="24.75" customHeight="1" x14ac:dyDescent="0.2">
      <c r="A257" s="475" t="s">
        <v>131</v>
      </c>
      <c r="B257" s="475"/>
      <c r="C257" s="475"/>
      <c r="D257" s="475"/>
      <c r="E257" s="475"/>
      <c r="F257" s="475"/>
      <c r="G257" s="475"/>
      <c r="H257" s="2"/>
      <c r="I257" s="305" t="e">
        <f>#REF!*18%</f>
        <v>#REF!</v>
      </c>
      <c r="J257" s="305" t="e">
        <f>#REF!*1.18</f>
        <v>#REF!</v>
      </c>
      <c r="K257" s="326">
        <v>1.0549999999999999</v>
      </c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</row>
    <row r="258" spans="1:113" s="15" customFormat="1" ht="8.25" customHeight="1" x14ac:dyDescent="0.2">
      <c r="A258" s="49"/>
      <c r="B258" s="385"/>
      <c r="C258" s="385"/>
      <c r="D258" s="385"/>
      <c r="E258" s="385"/>
      <c r="F258" s="385"/>
      <c r="G258" s="385"/>
      <c r="H258" s="2"/>
      <c r="I258" s="305" t="e">
        <f>#REF!*18%</f>
        <v>#REF!</v>
      </c>
      <c r="J258" s="305" t="e">
        <f>#REF!*1.18</f>
        <v>#REF!</v>
      </c>
      <c r="K258" s="326">
        <v>1.0549999999999999</v>
      </c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</row>
    <row r="259" spans="1:113" s="15" customFormat="1" ht="71.25" customHeight="1" x14ac:dyDescent="0.2">
      <c r="A259" s="50" t="s">
        <v>132</v>
      </c>
      <c r="B259" s="51" t="s">
        <v>122</v>
      </c>
      <c r="C259" s="425" t="s">
        <v>9</v>
      </c>
      <c r="D259" s="425"/>
      <c r="E259" s="386" t="s">
        <v>10</v>
      </c>
      <c r="F259" s="8" t="s">
        <v>11</v>
      </c>
      <c r="G259" s="386" t="s">
        <v>12</v>
      </c>
      <c r="H259" s="2"/>
      <c r="I259" s="305" t="e">
        <f>#REF!*18%</f>
        <v>#REF!</v>
      </c>
      <c r="J259" s="305" t="e">
        <f>#REF!*1.18</f>
        <v>#REF!</v>
      </c>
      <c r="K259" s="326">
        <v>1.0549999999999999</v>
      </c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</row>
    <row r="260" spans="1:113" s="15" customFormat="1" ht="39" customHeight="1" x14ac:dyDescent="0.2">
      <c r="A260" s="52">
        <v>1</v>
      </c>
      <c r="B260" s="53" t="s">
        <v>133</v>
      </c>
      <c r="C260" s="463" t="s">
        <v>134</v>
      </c>
      <c r="D260" s="463"/>
      <c r="E260" s="40">
        <f>1071.2*1.055*1.05</f>
        <v>1186.6199999999999</v>
      </c>
      <c r="F260" s="14">
        <f t="shared" ref="F260:F266" si="12">E260*20%</f>
        <v>237.32</v>
      </c>
      <c r="G260" s="14">
        <f t="shared" ref="G260:G266" si="13">E260+F260</f>
        <v>1423.94</v>
      </c>
      <c r="H260" s="2"/>
      <c r="I260" s="305" t="e">
        <f>#REF!*18%</f>
        <v>#REF!</v>
      </c>
      <c r="J260" s="305" t="e">
        <f>#REF!*1.18</f>
        <v>#REF!</v>
      </c>
      <c r="K260" s="326">
        <v>1.0549999999999999</v>
      </c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312">
        <f>1124.76/1.05</f>
        <v>1071.2</v>
      </c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</row>
    <row r="261" spans="1:113" s="15" customFormat="1" ht="29.25" customHeight="1" x14ac:dyDescent="0.2">
      <c r="A261" s="52">
        <v>2</v>
      </c>
      <c r="B261" s="53" t="s">
        <v>135</v>
      </c>
      <c r="C261" s="463" t="s">
        <v>136</v>
      </c>
      <c r="D261" s="463"/>
      <c r="E261" s="40">
        <f>1153.47*1.055*1.05</f>
        <v>1277.76</v>
      </c>
      <c r="F261" s="14">
        <f t="shared" si="12"/>
        <v>255.55</v>
      </c>
      <c r="G261" s="14">
        <f t="shared" si="13"/>
        <v>1533.31</v>
      </c>
      <c r="H261" s="2"/>
      <c r="I261" s="305" t="e">
        <f>#REF!*18%</f>
        <v>#REF!</v>
      </c>
      <c r="J261" s="305" t="e">
        <f>#REF!*1.18</f>
        <v>#REF!</v>
      </c>
      <c r="K261" s="326">
        <v>1.0549999999999999</v>
      </c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312">
        <f>1211.14/1.05</f>
        <v>1153.47</v>
      </c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</row>
    <row r="262" spans="1:113" s="15" customFormat="1" ht="36" customHeight="1" x14ac:dyDescent="0.2">
      <c r="A262" s="52">
        <v>3</v>
      </c>
      <c r="B262" s="53" t="s">
        <v>137</v>
      </c>
      <c r="C262" s="463" t="s">
        <v>134</v>
      </c>
      <c r="D262" s="463"/>
      <c r="E262" s="40">
        <f>1253.73*1.055*1.05</f>
        <v>1388.82</v>
      </c>
      <c r="F262" s="14">
        <f t="shared" si="12"/>
        <v>277.76</v>
      </c>
      <c r="G262" s="14">
        <f t="shared" si="13"/>
        <v>1666.58</v>
      </c>
      <c r="H262" s="2"/>
      <c r="I262" s="305" t="e">
        <f>#REF!*18%</f>
        <v>#REF!</v>
      </c>
      <c r="J262" s="305" t="e">
        <f>#REF!*1.18</f>
        <v>#REF!</v>
      </c>
      <c r="K262" s="326">
        <v>1.0549999999999999</v>
      </c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312">
        <f>1297.52/1.05</f>
        <v>1235.73</v>
      </c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</row>
    <row r="263" spans="1:113" s="15" customFormat="1" ht="45" customHeight="1" x14ac:dyDescent="0.2">
      <c r="A263" s="52">
        <v>4</v>
      </c>
      <c r="B263" s="53" t="s">
        <v>138</v>
      </c>
      <c r="C263" s="463" t="s">
        <v>139</v>
      </c>
      <c r="D263" s="463"/>
      <c r="E263" s="40">
        <f>1318*1.055*1.05</f>
        <v>1460.01</v>
      </c>
      <c r="F263" s="14">
        <f t="shared" si="12"/>
        <v>292</v>
      </c>
      <c r="G263" s="14">
        <f t="shared" si="13"/>
        <v>1752.01</v>
      </c>
      <c r="H263" s="2"/>
      <c r="I263" s="305" t="e">
        <f>#REF!*18%</f>
        <v>#REF!</v>
      </c>
      <c r="J263" s="305" t="e">
        <f>#REF!*1.18</f>
        <v>#REF!</v>
      </c>
      <c r="K263" s="326">
        <v>1.0549999999999999</v>
      </c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312">
        <f>1383.9/1.05</f>
        <v>1318</v>
      </c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</row>
    <row r="264" spans="1:113" s="15" customFormat="1" ht="38.25" customHeight="1" x14ac:dyDescent="0.2">
      <c r="A264" s="52">
        <v>5</v>
      </c>
      <c r="B264" s="53" t="s">
        <v>140</v>
      </c>
      <c r="C264" s="463" t="s">
        <v>139</v>
      </c>
      <c r="D264" s="463"/>
      <c r="E264" s="40">
        <f>1235.73*1.055*1.05</f>
        <v>1368.88</v>
      </c>
      <c r="F264" s="14">
        <f t="shared" si="12"/>
        <v>273.77999999999997</v>
      </c>
      <c r="G264" s="14">
        <f t="shared" si="13"/>
        <v>1642.66</v>
      </c>
      <c r="H264" s="2"/>
      <c r="I264" s="305" t="e">
        <f>#REF!*18%</f>
        <v>#REF!</v>
      </c>
      <c r="J264" s="305" t="e">
        <f>#REF!*1.18</f>
        <v>#REF!</v>
      </c>
      <c r="K264" s="326">
        <v>1.0549999999999999</v>
      </c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312">
        <f>1297.52/1.05</f>
        <v>1235.73</v>
      </c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</row>
    <row r="265" spans="1:113" s="15" customFormat="1" ht="25.5" customHeight="1" x14ac:dyDescent="0.2">
      <c r="A265" s="52">
        <v>6</v>
      </c>
      <c r="B265" s="53" t="s">
        <v>141</v>
      </c>
      <c r="C265" s="463" t="s">
        <v>136</v>
      </c>
      <c r="D265" s="463"/>
      <c r="E265" s="40">
        <f>1112.33*1.055*1.05</f>
        <v>1232.18</v>
      </c>
      <c r="F265" s="14">
        <f t="shared" si="12"/>
        <v>246.44</v>
      </c>
      <c r="G265" s="14">
        <f t="shared" si="13"/>
        <v>1478.62</v>
      </c>
      <c r="H265" s="2"/>
      <c r="I265" s="305" t="e">
        <f>#REF!*18%</f>
        <v>#REF!</v>
      </c>
      <c r="J265" s="305" t="e">
        <f>#REF!*1.18</f>
        <v>#REF!</v>
      </c>
      <c r="K265" s="326">
        <v>1.0549999999999999</v>
      </c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312">
        <f>1167.95/1.05</f>
        <v>1112.33</v>
      </c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</row>
    <row r="266" spans="1:113" s="15" customFormat="1" ht="29.25" customHeight="1" x14ac:dyDescent="0.2">
      <c r="A266" s="52">
        <v>7</v>
      </c>
      <c r="B266" s="53" t="s">
        <v>142</v>
      </c>
      <c r="C266" s="470" t="s">
        <v>143</v>
      </c>
      <c r="D266" s="470"/>
      <c r="E266" s="40">
        <f>1359.13*1.055*1.05</f>
        <v>1505.58</v>
      </c>
      <c r="F266" s="14">
        <f t="shared" si="12"/>
        <v>301.12</v>
      </c>
      <c r="G266" s="14">
        <f t="shared" si="13"/>
        <v>1806.7</v>
      </c>
      <c r="H266" s="2"/>
      <c r="I266" s="305" t="e">
        <f>#REF!*18%</f>
        <v>#REF!</v>
      </c>
      <c r="J266" s="305" t="e">
        <f>#REF!*1.18</f>
        <v>#REF!</v>
      </c>
      <c r="K266" s="326">
        <v>1.0549999999999999</v>
      </c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312">
        <f>1427.09/1.05</f>
        <v>1359.13</v>
      </c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</row>
    <row r="267" spans="1:113" s="15" customFormat="1" ht="11.25" customHeight="1" x14ac:dyDescent="0.2">
      <c r="A267" s="54"/>
      <c r="B267" s="55"/>
      <c r="C267" s="45"/>
      <c r="D267" s="45"/>
      <c r="E267" s="45"/>
      <c r="F267" s="45"/>
      <c r="G267" s="56"/>
      <c r="H267" s="2"/>
      <c r="I267" s="305"/>
      <c r="J267" s="305"/>
      <c r="K267" s="326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</row>
    <row r="268" spans="1:113" s="57" customFormat="1" ht="18.75" customHeight="1" x14ac:dyDescent="0.2">
      <c r="A268" s="424" t="s">
        <v>144</v>
      </c>
      <c r="B268" s="424"/>
      <c r="C268" s="424"/>
      <c r="D268" s="424"/>
      <c r="E268" s="424"/>
      <c r="F268" s="424"/>
      <c r="G268" s="424"/>
      <c r="H268" s="31"/>
      <c r="I268" s="305">
        <f>E268*18%</f>
        <v>0</v>
      </c>
      <c r="J268" s="305">
        <f>E268*1.18</f>
        <v>0</v>
      </c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31"/>
      <c r="BH268" s="31"/>
      <c r="BI268" s="31"/>
      <c r="BJ268" s="31"/>
      <c r="BK268" s="31"/>
      <c r="BL268" s="31"/>
      <c r="BM268" s="31"/>
      <c r="BN268" s="31"/>
      <c r="BO268" s="31"/>
      <c r="BP268" s="31"/>
      <c r="BQ268" s="31"/>
      <c r="BR268" s="31"/>
      <c r="BS268" s="31"/>
      <c r="BT268" s="31"/>
      <c r="BU268" s="31"/>
      <c r="BV268" s="31"/>
      <c r="BW268" s="31"/>
      <c r="BX268" s="31"/>
      <c r="BY268" s="31"/>
      <c r="BZ268" s="31"/>
      <c r="CA268" s="31"/>
      <c r="CB268" s="31"/>
      <c r="CC268" s="31"/>
      <c r="CD268" s="31"/>
      <c r="CE268" s="31"/>
      <c r="CF268" s="31"/>
      <c r="CG268" s="31"/>
      <c r="CH268" s="31"/>
      <c r="CI268" s="31"/>
      <c r="CJ268" s="31"/>
      <c r="CK268" s="31"/>
      <c r="CL268" s="31"/>
      <c r="CM268" s="31"/>
      <c r="CN268" s="31"/>
      <c r="CO268" s="31"/>
      <c r="CP268" s="31"/>
      <c r="CQ268" s="31"/>
      <c r="CR268" s="31"/>
      <c r="CS268" s="31"/>
      <c r="CT268" s="31"/>
      <c r="CU268" s="31"/>
      <c r="CV268" s="31"/>
      <c r="CW268" s="31"/>
      <c r="CX268" s="31"/>
      <c r="CY268" s="31"/>
      <c r="CZ268" s="31"/>
      <c r="DA268" s="31"/>
      <c r="DB268" s="31"/>
      <c r="DC268" s="31"/>
      <c r="DD268" s="31"/>
      <c r="DE268" s="31"/>
      <c r="DF268" s="31"/>
      <c r="DG268" s="31"/>
      <c r="DH268" s="31"/>
      <c r="DI268" s="31"/>
    </row>
    <row r="269" spans="1:113" s="57" customFormat="1" ht="12" customHeight="1" x14ac:dyDescent="0.25">
      <c r="A269" s="58"/>
      <c r="B269" s="59"/>
      <c r="C269" s="374"/>
      <c r="D269" s="60"/>
      <c r="E269" s="31"/>
      <c r="F269" s="61"/>
      <c r="G269" s="62"/>
      <c r="H269" s="31"/>
      <c r="I269" s="305">
        <f>E269*18%</f>
        <v>0</v>
      </c>
      <c r="J269" s="305">
        <f>E269*1.18</f>
        <v>0</v>
      </c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31"/>
      <c r="BH269" s="31"/>
      <c r="BI269" s="31"/>
      <c r="BJ269" s="31"/>
      <c r="BK269" s="31"/>
      <c r="BL269" s="31"/>
      <c r="BM269" s="31"/>
      <c r="BN269" s="31"/>
      <c r="BO269" s="31"/>
      <c r="BP269" s="31"/>
      <c r="BQ269" s="31"/>
      <c r="BR269" s="31"/>
      <c r="BS269" s="31"/>
      <c r="BT269" s="31"/>
      <c r="BU269" s="31"/>
      <c r="BV269" s="31"/>
      <c r="BW269" s="31"/>
      <c r="BX269" s="31"/>
      <c r="BY269" s="31"/>
      <c r="BZ269" s="31"/>
      <c r="CA269" s="31"/>
      <c r="CB269" s="31"/>
      <c r="CC269" s="31"/>
      <c r="CD269" s="31"/>
      <c r="CE269" s="31"/>
      <c r="CF269" s="31"/>
      <c r="CG269" s="31"/>
      <c r="CH269" s="31"/>
      <c r="CI269" s="31"/>
      <c r="CJ269" s="31"/>
      <c r="CK269" s="31"/>
      <c r="CL269" s="31"/>
      <c r="CM269" s="31"/>
      <c r="CN269" s="31"/>
      <c r="CO269" s="31"/>
      <c r="CP269" s="31"/>
      <c r="CQ269" s="31"/>
      <c r="CR269" s="31"/>
      <c r="CS269" s="31"/>
      <c r="CT269" s="31"/>
      <c r="CU269" s="31"/>
      <c r="CV269" s="31"/>
      <c r="CW269" s="31"/>
      <c r="CX269" s="31"/>
      <c r="CY269" s="31"/>
      <c r="CZ269" s="31"/>
      <c r="DA269" s="31"/>
      <c r="DB269" s="31"/>
      <c r="DC269" s="31"/>
      <c r="DD269" s="31"/>
      <c r="DE269" s="31"/>
      <c r="DF269" s="31"/>
      <c r="DG269" s="31"/>
      <c r="DH269" s="31"/>
      <c r="DI269" s="31"/>
    </row>
    <row r="270" spans="1:113" s="57" customFormat="1" ht="72" customHeight="1" x14ac:dyDescent="0.2">
      <c r="A270" s="386" t="s">
        <v>6</v>
      </c>
      <c r="B270" s="386" t="s">
        <v>7</v>
      </c>
      <c r="C270" s="386" t="s">
        <v>145</v>
      </c>
      <c r="D270" s="386" t="s">
        <v>9</v>
      </c>
      <c r="E270" s="386" t="s">
        <v>10</v>
      </c>
      <c r="F270" s="386" t="s">
        <v>146</v>
      </c>
      <c r="G270" s="386" t="s">
        <v>12</v>
      </c>
      <c r="H270" s="31"/>
      <c r="I270" s="305" t="e">
        <f>E270*18%</f>
        <v>#VALUE!</v>
      </c>
      <c r="J270" s="305" t="e">
        <f>E270*1.18</f>
        <v>#VALUE!</v>
      </c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31"/>
      <c r="BH270" s="31"/>
      <c r="BI270" s="31"/>
      <c r="BJ270" s="31"/>
      <c r="BK270" s="31"/>
      <c r="BL270" s="31"/>
      <c r="BM270" s="31"/>
      <c r="BN270" s="31"/>
      <c r="BO270" s="31"/>
      <c r="BP270" s="31"/>
      <c r="BQ270" s="31"/>
      <c r="BR270" s="31"/>
      <c r="BS270" s="31"/>
      <c r="BT270" s="31"/>
      <c r="BU270" s="31"/>
      <c r="BV270" s="31"/>
      <c r="BW270" s="31"/>
      <c r="BX270" s="31"/>
      <c r="BY270" s="31"/>
      <c r="BZ270" s="31"/>
      <c r="CA270" s="31"/>
      <c r="CB270" s="31"/>
      <c r="CC270" s="31"/>
      <c r="CD270" s="31"/>
      <c r="CE270" s="31"/>
      <c r="CF270" s="31"/>
      <c r="CG270" s="31"/>
      <c r="CH270" s="31"/>
      <c r="CI270" s="31"/>
      <c r="CJ270" s="31"/>
      <c r="CK270" s="31"/>
      <c r="CL270" s="31"/>
      <c r="CM270" s="31"/>
      <c r="CN270" s="31"/>
      <c r="CO270" s="31"/>
      <c r="CP270" s="31"/>
      <c r="CQ270" s="31"/>
      <c r="CR270" s="31"/>
      <c r="CS270" s="31"/>
      <c r="CT270" s="31"/>
      <c r="CU270" s="31"/>
      <c r="CV270" s="31"/>
      <c r="CW270" s="31"/>
      <c r="CX270" s="31"/>
      <c r="CY270" s="31"/>
      <c r="CZ270" s="31"/>
      <c r="DA270" s="31"/>
      <c r="DB270" s="31"/>
      <c r="DC270" s="31"/>
      <c r="DD270" s="31"/>
      <c r="DE270" s="31"/>
      <c r="DF270" s="31"/>
      <c r="DG270" s="31"/>
      <c r="DH270" s="31"/>
      <c r="DI270" s="31"/>
    </row>
    <row r="271" spans="1:113" s="57" customFormat="1" ht="13.5" thickBot="1" x14ac:dyDescent="0.25">
      <c r="A271" s="63">
        <v>1</v>
      </c>
      <c r="B271" s="63">
        <v>2</v>
      </c>
      <c r="C271" s="63">
        <v>3</v>
      </c>
      <c r="D271" s="63">
        <v>4</v>
      </c>
      <c r="E271" s="63">
        <v>5</v>
      </c>
      <c r="F271" s="388">
        <v>6</v>
      </c>
      <c r="G271" s="388">
        <v>7</v>
      </c>
      <c r="H271" s="31"/>
      <c r="I271" s="305">
        <f>E271*18%</f>
        <v>0.9</v>
      </c>
      <c r="J271" s="305">
        <f>E271*1.18</f>
        <v>5.9</v>
      </c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31"/>
      <c r="BK271" s="31"/>
      <c r="BL271" s="31"/>
      <c r="BM271" s="31"/>
      <c r="BN271" s="31"/>
      <c r="BO271" s="31"/>
      <c r="BP271" s="31"/>
      <c r="BQ271" s="31"/>
      <c r="BR271" s="31"/>
      <c r="BS271" s="31"/>
      <c r="BT271" s="31"/>
      <c r="BU271" s="31"/>
      <c r="BV271" s="31"/>
      <c r="BW271" s="31"/>
      <c r="BX271" s="31"/>
      <c r="BY271" s="31"/>
      <c r="BZ271" s="31"/>
      <c r="CA271" s="31"/>
      <c r="CB271" s="31"/>
      <c r="CC271" s="31"/>
      <c r="CD271" s="31"/>
      <c r="CE271" s="31"/>
      <c r="CF271" s="31"/>
      <c r="CG271" s="31"/>
      <c r="CH271" s="31"/>
      <c r="CI271" s="31"/>
      <c r="CJ271" s="31"/>
      <c r="CK271" s="31"/>
      <c r="CL271" s="31"/>
      <c r="CM271" s="31"/>
      <c r="CN271" s="31"/>
      <c r="CO271" s="31"/>
      <c r="CP271" s="31"/>
      <c r="CQ271" s="31"/>
      <c r="CR271" s="31"/>
      <c r="CS271" s="31"/>
      <c r="CT271" s="31"/>
      <c r="CU271" s="31"/>
      <c r="CV271" s="31"/>
      <c r="CW271" s="31"/>
      <c r="CX271" s="31"/>
      <c r="CY271" s="31"/>
      <c r="CZ271" s="31"/>
      <c r="DA271" s="31"/>
      <c r="DB271" s="31"/>
      <c r="DC271" s="31"/>
      <c r="DD271" s="31"/>
      <c r="DE271" s="31"/>
      <c r="DF271" s="31"/>
      <c r="DG271" s="31"/>
      <c r="DH271" s="31"/>
      <c r="DI271" s="31"/>
    </row>
    <row r="272" spans="1:113" s="22" customFormat="1" ht="24.75" customHeight="1" x14ac:dyDescent="0.2">
      <c r="A272" s="468" t="s">
        <v>14</v>
      </c>
      <c r="B272" s="467" t="s">
        <v>147</v>
      </c>
      <c r="C272" s="384" t="s">
        <v>148</v>
      </c>
      <c r="D272" s="64" t="s">
        <v>149</v>
      </c>
      <c r="E272" s="389">
        <f>643.84*1.055*1.05</f>
        <v>713.21</v>
      </c>
      <c r="F272" s="14">
        <f t="shared" ref="F272:F330" si="14">E272*20%</f>
        <v>142.63999999999999</v>
      </c>
      <c r="G272" s="389">
        <f t="shared" ref="G272:G330" si="15">E272+F272</f>
        <v>855.85</v>
      </c>
      <c r="H272" s="65"/>
      <c r="I272" s="320" t="e">
        <f>#REF!*18%</f>
        <v>#REF!</v>
      </c>
      <c r="J272" s="320" t="e">
        <f>#REF!*1.18</f>
        <v>#REF!</v>
      </c>
      <c r="K272" s="327">
        <v>1.0549999999999999</v>
      </c>
      <c r="L272" s="65"/>
      <c r="M272" s="65"/>
      <c r="N272" s="65"/>
      <c r="O272" s="65"/>
      <c r="P272" s="65"/>
      <c r="Q272" s="65"/>
      <c r="R272" s="65"/>
      <c r="S272" s="338"/>
      <c r="T272" s="31"/>
      <c r="U272" s="31"/>
      <c r="V272" s="31"/>
      <c r="W272" s="31"/>
      <c r="X272" s="31"/>
      <c r="Y272" s="66">
        <f>(469*1.04)*1.2</f>
        <v>585.30999999999995</v>
      </c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66">
        <f>585.31*1.1</f>
        <v>643.84</v>
      </c>
      <c r="BJ272" s="339">
        <f>BI272-E272</f>
        <v>-69.37</v>
      </c>
      <c r="BK272" s="31">
        <f>(10+100)/100</f>
        <v>1.1000000000000001</v>
      </c>
      <c r="BL272" s="31"/>
      <c r="BM272" s="31"/>
      <c r="BN272" s="31"/>
      <c r="BO272" s="31"/>
      <c r="BP272" s="31"/>
      <c r="BQ272" s="31"/>
      <c r="BR272" s="31"/>
      <c r="BS272" s="31"/>
      <c r="BT272" s="31"/>
      <c r="BU272" s="31"/>
      <c r="BV272" s="31"/>
      <c r="BW272" s="31"/>
      <c r="BX272" s="31"/>
      <c r="BY272" s="31"/>
      <c r="BZ272" s="31"/>
      <c r="CA272" s="31"/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1"/>
      <c r="CW272" s="31"/>
      <c r="CX272" s="31"/>
      <c r="CY272" s="31"/>
      <c r="CZ272" s="31"/>
      <c r="DA272" s="31"/>
      <c r="DB272" s="31"/>
      <c r="DC272" s="31"/>
      <c r="DD272" s="31"/>
      <c r="DE272" s="31"/>
      <c r="DF272" s="31"/>
      <c r="DG272" s="31"/>
      <c r="DH272" s="31"/>
      <c r="DI272" s="31"/>
    </row>
    <row r="273" spans="1:113" s="22" customFormat="1" ht="21.75" customHeight="1" x14ac:dyDescent="0.2">
      <c r="A273" s="468"/>
      <c r="B273" s="467"/>
      <c r="C273" s="384" t="s">
        <v>150</v>
      </c>
      <c r="D273" s="64" t="s">
        <v>149</v>
      </c>
      <c r="E273" s="389">
        <f>669.65*1.055*1.05</f>
        <v>741.8</v>
      </c>
      <c r="F273" s="14">
        <f t="shared" si="14"/>
        <v>148.36000000000001</v>
      </c>
      <c r="G273" s="389">
        <f t="shared" si="15"/>
        <v>890.16</v>
      </c>
      <c r="H273" s="21"/>
      <c r="I273" s="304" t="e">
        <f>#REF!*18%</f>
        <v>#REF!</v>
      </c>
      <c r="J273" s="304" t="e">
        <f>#REF!*1.18</f>
        <v>#REF!</v>
      </c>
      <c r="K273" s="308">
        <v>1.0549999999999999</v>
      </c>
      <c r="L273" s="21"/>
      <c r="M273" s="21"/>
      <c r="N273" s="21"/>
      <c r="O273" s="21"/>
      <c r="P273" s="21"/>
      <c r="Q273" s="21"/>
      <c r="R273" s="21"/>
      <c r="S273" s="20"/>
      <c r="T273" s="31"/>
      <c r="U273" s="31"/>
      <c r="V273" s="31"/>
      <c r="W273" s="31"/>
      <c r="X273" s="31"/>
      <c r="Y273" s="389">
        <f>(487.8*1.04)*1.2</f>
        <v>608.77</v>
      </c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89">
        <f>608.77*1.1</f>
        <v>669.65</v>
      </c>
      <c r="BJ273" s="339">
        <f t="shared" ref="BJ273:BJ330" si="16">BI273-E273</f>
        <v>-72.150000000000006</v>
      </c>
      <c r="BK273" s="31"/>
      <c r="BL273" s="31"/>
      <c r="BM273" s="31"/>
      <c r="BN273" s="31"/>
      <c r="BO273" s="31"/>
      <c r="BP273" s="31"/>
      <c r="BQ273" s="31"/>
      <c r="BR273" s="31"/>
      <c r="BS273" s="31"/>
      <c r="BT273" s="31"/>
      <c r="BU273" s="31"/>
      <c r="BV273" s="31"/>
      <c r="BW273" s="31"/>
      <c r="BX273" s="31"/>
      <c r="BY273" s="31"/>
      <c r="BZ273" s="31"/>
      <c r="CA273" s="31"/>
      <c r="CB273" s="31"/>
      <c r="CC273" s="31"/>
      <c r="CD273" s="31"/>
      <c r="CE273" s="31"/>
      <c r="CF273" s="31"/>
      <c r="CG273" s="31"/>
      <c r="CH273" s="31"/>
      <c r="CI273" s="31"/>
      <c r="CJ273" s="31"/>
      <c r="CK273" s="31"/>
      <c r="CL273" s="31"/>
      <c r="CM273" s="31"/>
      <c r="CN273" s="31"/>
      <c r="CO273" s="31"/>
      <c r="CP273" s="31"/>
      <c r="CQ273" s="31"/>
      <c r="CR273" s="31"/>
      <c r="CS273" s="31"/>
      <c r="CT273" s="31"/>
      <c r="CU273" s="31"/>
      <c r="CV273" s="31"/>
      <c r="CW273" s="31"/>
      <c r="CX273" s="31"/>
      <c r="CY273" s="31"/>
      <c r="CZ273" s="31"/>
      <c r="DA273" s="31"/>
      <c r="DB273" s="31"/>
      <c r="DC273" s="31"/>
      <c r="DD273" s="31"/>
      <c r="DE273" s="31"/>
      <c r="DF273" s="31"/>
      <c r="DG273" s="31"/>
      <c r="DH273" s="31"/>
      <c r="DI273" s="31"/>
    </row>
    <row r="274" spans="1:113" s="22" customFormat="1" ht="21.75" customHeight="1" x14ac:dyDescent="0.2">
      <c r="A274" s="468"/>
      <c r="B274" s="467"/>
      <c r="C274" s="384" t="s">
        <v>151</v>
      </c>
      <c r="D274" s="64" t="s">
        <v>149</v>
      </c>
      <c r="E274" s="389">
        <f>686.51*1.055*1.05</f>
        <v>760.48</v>
      </c>
      <c r="F274" s="14">
        <f t="shared" si="14"/>
        <v>152.1</v>
      </c>
      <c r="G274" s="389">
        <f t="shared" si="15"/>
        <v>912.58</v>
      </c>
      <c r="H274" s="21"/>
      <c r="I274" s="304" t="e">
        <f>#REF!*18%</f>
        <v>#REF!</v>
      </c>
      <c r="J274" s="304" t="e">
        <f>#REF!*1.18</f>
        <v>#REF!</v>
      </c>
      <c r="K274" s="308">
        <v>1.0549999999999999</v>
      </c>
      <c r="L274" s="21"/>
      <c r="M274" s="21"/>
      <c r="N274" s="21"/>
      <c r="O274" s="21"/>
      <c r="P274" s="21"/>
      <c r="Q274" s="21"/>
      <c r="R274" s="21"/>
      <c r="S274" s="20"/>
      <c r="T274" s="31"/>
      <c r="U274" s="31"/>
      <c r="V274" s="31"/>
      <c r="W274" s="31"/>
      <c r="X274" s="31"/>
      <c r="Y274" s="389">
        <f>(500.08*1.04)*1.2</f>
        <v>624.1</v>
      </c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31"/>
      <c r="BH274" s="31"/>
      <c r="BI274" s="389">
        <f>624.1*1.1</f>
        <v>686.51</v>
      </c>
      <c r="BJ274" s="339">
        <f t="shared" si="16"/>
        <v>-73.97</v>
      </c>
      <c r="BK274" s="31"/>
      <c r="BL274" s="31"/>
      <c r="BM274" s="31"/>
      <c r="BN274" s="31"/>
      <c r="BO274" s="31"/>
      <c r="BP274" s="31"/>
      <c r="BQ274" s="31"/>
      <c r="BR274" s="31"/>
      <c r="BS274" s="31"/>
      <c r="BT274" s="31"/>
      <c r="BU274" s="31"/>
      <c r="BV274" s="31"/>
      <c r="BW274" s="31"/>
      <c r="BX274" s="31"/>
      <c r="BY274" s="31"/>
      <c r="BZ274" s="31"/>
      <c r="CA274" s="31"/>
      <c r="CB274" s="31"/>
      <c r="CC274" s="31"/>
      <c r="CD274" s="31"/>
      <c r="CE274" s="31"/>
      <c r="CF274" s="31"/>
      <c r="CG274" s="31"/>
      <c r="CH274" s="31"/>
      <c r="CI274" s="31"/>
      <c r="CJ274" s="31"/>
      <c r="CK274" s="31"/>
      <c r="CL274" s="31"/>
      <c r="CM274" s="31"/>
      <c r="CN274" s="31"/>
      <c r="CO274" s="31"/>
      <c r="CP274" s="31"/>
      <c r="CQ274" s="31"/>
      <c r="CR274" s="31"/>
      <c r="CS274" s="31"/>
      <c r="CT274" s="31"/>
      <c r="CU274" s="31"/>
      <c r="CV274" s="31"/>
      <c r="CW274" s="31"/>
      <c r="CX274" s="31"/>
      <c r="CY274" s="31"/>
      <c r="CZ274" s="31"/>
      <c r="DA274" s="31"/>
      <c r="DB274" s="31"/>
      <c r="DC274" s="31"/>
      <c r="DD274" s="31"/>
      <c r="DE274" s="31"/>
      <c r="DF274" s="31"/>
      <c r="DG274" s="31"/>
      <c r="DH274" s="31"/>
      <c r="DI274" s="31"/>
    </row>
    <row r="275" spans="1:113" s="22" customFormat="1" ht="24.75" customHeight="1" thickBot="1" x14ac:dyDescent="0.25">
      <c r="A275" s="468"/>
      <c r="B275" s="467"/>
      <c r="C275" s="384" t="s">
        <v>152</v>
      </c>
      <c r="D275" s="64" t="s">
        <v>149</v>
      </c>
      <c r="E275" s="389">
        <f>738.18*1.055*1.05</f>
        <v>817.72</v>
      </c>
      <c r="F275" s="14">
        <f t="shared" si="14"/>
        <v>163.54</v>
      </c>
      <c r="G275" s="389">
        <f t="shared" si="15"/>
        <v>981.26</v>
      </c>
      <c r="H275" s="67"/>
      <c r="I275" s="323" t="e">
        <f>#REF!*18%</f>
        <v>#REF!</v>
      </c>
      <c r="J275" s="323" t="e">
        <f>#REF!*1.18</f>
        <v>#REF!</v>
      </c>
      <c r="K275" s="334">
        <v>1.0549999999999999</v>
      </c>
      <c r="L275" s="67"/>
      <c r="M275" s="67"/>
      <c r="N275" s="67"/>
      <c r="O275" s="67"/>
      <c r="P275" s="67"/>
      <c r="Q275" s="67"/>
      <c r="R275" s="67"/>
      <c r="S275" s="340"/>
      <c r="T275" s="31"/>
      <c r="U275" s="31"/>
      <c r="V275" s="31"/>
      <c r="W275" s="31"/>
      <c r="X275" s="31"/>
      <c r="Y275" s="68">
        <f>(537.72*1.04)*1.2</f>
        <v>671.07</v>
      </c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31"/>
      <c r="BH275" s="31"/>
      <c r="BI275" s="68">
        <f>671.07*1.1</f>
        <v>738.18</v>
      </c>
      <c r="BJ275" s="339">
        <f t="shared" si="16"/>
        <v>-79.540000000000006</v>
      </c>
      <c r="BK275" s="31"/>
      <c r="BL275" s="31"/>
      <c r="BM275" s="31"/>
      <c r="BN275" s="31"/>
      <c r="BO275" s="31"/>
      <c r="BP275" s="31"/>
      <c r="BQ275" s="31"/>
      <c r="BR275" s="31"/>
      <c r="BS275" s="31"/>
      <c r="BT275" s="31"/>
      <c r="BU275" s="31"/>
      <c r="BV275" s="31"/>
      <c r="BW275" s="31"/>
      <c r="BX275" s="31"/>
      <c r="BY275" s="31"/>
      <c r="BZ275" s="31"/>
      <c r="CA275" s="31"/>
      <c r="CB275" s="31"/>
      <c r="CC275" s="31"/>
      <c r="CD275" s="31"/>
      <c r="CE275" s="31"/>
      <c r="CF275" s="31"/>
      <c r="CG275" s="31"/>
      <c r="CH275" s="31"/>
      <c r="CI275" s="31"/>
      <c r="CJ275" s="31"/>
      <c r="CK275" s="31"/>
      <c r="CL275" s="31"/>
      <c r="CM275" s="31"/>
      <c r="CN275" s="31"/>
      <c r="CO275" s="31"/>
      <c r="CP275" s="31"/>
      <c r="CQ275" s="31"/>
      <c r="CR275" s="31"/>
      <c r="CS275" s="31"/>
      <c r="CT275" s="31"/>
      <c r="CU275" s="31"/>
      <c r="CV275" s="31"/>
      <c r="CW275" s="31"/>
      <c r="CX275" s="31"/>
      <c r="CY275" s="31"/>
      <c r="CZ275" s="31"/>
      <c r="DA275" s="31"/>
      <c r="DB275" s="31"/>
      <c r="DC275" s="31"/>
      <c r="DD275" s="31"/>
      <c r="DE275" s="31"/>
      <c r="DF275" s="31"/>
      <c r="DG275" s="31"/>
      <c r="DH275" s="31"/>
      <c r="DI275" s="31"/>
    </row>
    <row r="276" spans="1:113" s="22" customFormat="1" ht="18.75" customHeight="1" x14ac:dyDescent="0.2">
      <c r="A276" s="468" t="s">
        <v>26</v>
      </c>
      <c r="B276" s="467" t="s">
        <v>153</v>
      </c>
      <c r="C276" s="384" t="s">
        <v>148</v>
      </c>
      <c r="D276" s="64" t="s">
        <v>149</v>
      </c>
      <c r="E276" s="389">
        <f>935.67*1.055*1.05</f>
        <v>1036.49</v>
      </c>
      <c r="F276" s="14">
        <f t="shared" si="14"/>
        <v>207.3</v>
      </c>
      <c r="G276" s="389">
        <f t="shared" si="15"/>
        <v>1243.79</v>
      </c>
      <c r="H276" s="31"/>
      <c r="I276" s="305" t="e">
        <f>#REF!*18%</f>
        <v>#REF!</v>
      </c>
      <c r="J276" s="305" t="e">
        <f>#REF!*1.18</f>
        <v>#REF!</v>
      </c>
      <c r="K276" s="326">
        <v>1.0549999999999999</v>
      </c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72">
        <f>(681.58*1.04)*1.2</f>
        <v>850.61</v>
      </c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31"/>
      <c r="BH276" s="31"/>
      <c r="BI276" s="66">
        <f>850.61*1.1</f>
        <v>935.67</v>
      </c>
      <c r="BJ276" s="339">
        <f t="shared" si="16"/>
        <v>-100.82</v>
      </c>
      <c r="BK276" s="31"/>
      <c r="BL276" s="31"/>
      <c r="BM276" s="31"/>
      <c r="BN276" s="31"/>
      <c r="BO276" s="31"/>
      <c r="BP276" s="31"/>
      <c r="BQ276" s="31"/>
      <c r="BR276" s="31"/>
      <c r="BS276" s="31"/>
      <c r="BT276" s="31"/>
      <c r="BU276" s="31"/>
      <c r="BV276" s="31"/>
      <c r="BW276" s="31"/>
      <c r="BX276" s="31"/>
      <c r="BY276" s="31"/>
      <c r="BZ276" s="31"/>
      <c r="CA276" s="31"/>
      <c r="CB276" s="31"/>
      <c r="CC276" s="31"/>
      <c r="CD276" s="31"/>
      <c r="CE276" s="31"/>
      <c r="CF276" s="31"/>
      <c r="CG276" s="31"/>
      <c r="CH276" s="31"/>
      <c r="CI276" s="31"/>
      <c r="CJ276" s="31"/>
      <c r="CK276" s="31"/>
      <c r="CL276" s="31"/>
      <c r="CM276" s="31"/>
      <c r="CN276" s="31"/>
      <c r="CO276" s="31"/>
      <c r="CP276" s="31"/>
      <c r="CQ276" s="31"/>
      <c r="CR276" s="31"/>
      <c r="CS276" s="31"/>
      <c r="CT276" s="31"/>
      <c r="CU276" s="31"/>
      <c r="CV276" s="31"/>
      <c r="CW276" s="31"/>
      <c r="CX276" s="31"/>
      <c r="CY276" s="31"/>
      <c r="CZ276" s="31"/>
      <c r="DA276" s="31"/>
      <c r="DB276" s="31"/>
      <c r="DC276" s="31"/>
      <c r="DD276" s="31"/>
      <c r="DE276" s="31"/>
      <c r="DF276" s="31"/>
      <c r="DG276" s="31"/>
      <c r="DH276" s="31"/>
      <c r="DI276" s="31"/>
    </row>
    <row r="277" spans="1:113" s="22" customFormat="1" ht="24.75" customHeight="1" x14ac:dyDescent="0.2">
      <c r="A277" s="468"/>
      <c r="B277" s="467"/>
      <c r="C277" s="384" t="s">
        <v>154</v>
      </c>
      <c r="D277" s="64" t="s">
        <v>149</v>
      </c>
      <c r="E277" s="389">
        <f>987.21*1.055*1.05</f>
        <v>1093.58</v>
      </c>
      <c r="F277" s="14">
        <f t="shared" si="14"/>
        <v>218.72</v>
      </c>
      <c r="G277" s="389">
        <f t="shared" si="15"/>
        <v>1312.3</v>
      </c>
      <c r="H277" s="31"/>
      <c r="I277" s="305" t="e">
        <f>#REF!*18%</f>
        <v>#REF!</v>
      </c>
      <c r="J277" s="305" t="e">
        <f>#REF!*1.18</f>
        <v>#REF!</v>
      </c>
      <c r="K277" s="326">
        <v>1.0549999999999999</v>
      </c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89">
        <f>(719.12*1.04)*1.2</f>
        <v>897.46</v>
      </c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31"/>
      <c r="BH277" s="31"/>
      <c r="BI277" s="389">
        <f>897.46*1.1</f>
        <v>987.21</v>
      </c>
      <c r="BJ277" s="339">
        <f t="shared" si="16"/>
        <v>-106.37</v>
      </c>
      <c r="BK277" s="31"/>
      <c r="BL277" s="31"/>
      <c r="BM277" s="31"/>
      <c r="BN277" s="31"/>
      <c r="BO277" s="31"/>
      <c r="BP277" s="31"/>
      <c r="BQ277" s="31"/>
      <c r="BR277" s="31"/>
      <c r="BS277" s="31"/>
      <c r="BT277" s="31"/>
      <c r="BU277" s="31"/>
      <c r="BV277" s="31"/>
      <c r="BW277" s="31"/>
      <c r="BX277" s="31"/>
      <c r="BY277" s="31"/>
      <c r="BZ277" s="31"/>
      <c r="CA277" s="31"/>
      <c r="CB277" s="31"/>
      <c r="CC277" s="31"/>
      <c r="CD277" s="31"/>
      <c r="CE277" s="31"/>
      <c r="CF277" s="31"/>
      <c r="CG277" s="31"/>
      <c r="CH277" s="31"/>
      <c r="CI277" s="31"/>
      <c r="CJ277" s="31"/>
      <c r="CK277" s="31"/>
      <c r="CL277" s="31"/>
      <c r="CM277" s="31"/>
      <c r="CN277" s="31"/>
      <c r="CO277" s="31"/>
      <c r="CP277" s="31"/>
      <c r="CQ277" s="31"/>
      <c r="CR277" s="31"/>
      <c r="CS277" s="31"/>
      <c r="CT277" s="31"/>
      <c r="CU277" s="31"/>
      <c r="CV277" s="31"/>
      <c r="CW277" s="31"/>
      <c r="CX277" s="31"/>
      <c r="CY277" s="31"/>
      <c r="CZ277" s="31"/>
      <c r="DA277" s="31"/>
      <c r="DB277" s="31"/>
      <c r="DC277" s="31"/>
      <c r="DD277" s="31"/>
      <c r="DE277" s="31"/>
      <c r="DF277" s="31"/>
      <c r="DG277" s="31"/>
      <c r="DH277" s="31"/>
      <c r="DI277" s="31"/>
    </row>
    <row r="278" spans="1:113" s="22" customFormat="1" ht="27.75" customHeight="1" x14ac:dyDescent="0.2">
      <c r="A278" s="468"/>
      <c r="B278" s="467"/>
      <c r="C278" s="384" t="s">
        <v>151</v>
      </c>
      <c r="D278" s="64" t="s">
        <v>149</v>
      </c>
      <c r="E278" s="389">
        <f>1030.34*1.055*1.05</f>
        <v>1141.3599999999999</v>
      </c>
      <c r="F278" s="14">
        <f t="shared" si="14"/>
        <v>228.27</v>
      </c>
      <c r="G278" s="389">
        <f t="shared" si="15"/>
        <v>1369.63</v>
      </c>
      <c r="H278" s="31"/>
      <c r="I278" s="305" t="e">
        <f>#REF!*18%</f>
        <v>#REF!</v>
      </c>
      <c r="J278" s="305" t="e">
        <f>#REF!*1.18</f>
        <v>#REF!</v>
      </c>
      <c r="K278" s="326">
        <v>1.0549999999999999</v>
      </c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89">
        <f>(750.54*1.04)*1.2</f>
        <v>936.67</v>
      </c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31"/>
      <c r="BH278" s="31"/>
      <c r="BI278" s="389">
        <f>936.67*1.1</f>
        <v>1030.3399999999999</v>
      </c>
      <c r="BJ278" s="339">
        <f t="shared" si="16"/>
        <v>-111.02</v>
      </c>
      <c r="BK278" s="31"/>
      <c r="BL278" s="31"/>
      <c r="BM278" s="31"/>
      <c r="BN278" s="31"/>
      <c r="BO278" s="31"/>
      <c r="BP278" s="31"/>
      <c r="BQ278" s="31"/>
      <c r="BR278" s="31"/>
      <c r="BS278" s="31"/>
      <c r="BT278" s="31"/>
      <c r="BU278" s="31"/>
      <c r="BV278" s="31"/>
      <c r="BW278" s="31"/>
      <c r="BX278" s="31"/>
      <c r="BY278" s="31"/>
      <c r="BZ278" s="31"/>
      <c r="CA278" s="31"/>
      <c r="CB278" s="31"/>
      <c r="CC278" s="31"/>
      <c r="CD278" s="31"/>
      <c r="CE278" s="31"/>
      <c r="CF278" s="31"/>
      <c r="CG278" s="31"/>
      <c r="CH278" s="31"/>
      <c r="CI278" s="31"/>
      <c r="CJ278" s="31"/>
      <c r="CK278" s="31"/>
      <c r="CL278" s="31"/>
      <c r="CM278" s="31"/>
      <c r="CN278" s="31"/>
      <c r="CO278" s="31"/>
      <c r="CP278" s="31"/>
      <c r="CQ278" s="31"/>
      <c r="CR278" s="31"/>
      <c r="CS278" s="31"/>
      <c r="CT278" s="31"/>
      <c r="CU278" s="31"/>
      <c r="CV278" s="31"/>
      <c r="CW278" s="31"/>
      <c r="CX278" s="31"/>
      <c r="CY278" s="31"/>
      <c r="CZ278" s="31"/>
      <c r="DA278" s="31"/>
      <c r="DB278" s="31"/>
      <c r="DC278" s="31"/>
      <c r="DD278" s="31"/>
      <c r="DE278" s="31"/>
      <c r="DF278" s="31"/>
      <c r="DG278" s="31"/>
      <c r="DH278" s="31"/>
      <c r="DI278" s="31"/>
    </row>
    <row r="279" spans="1:113" s="22" customFormat="1" ht="25.5" customHeight="1" thickBot="1" x14ac:dyDescent="0.25">
      <c r="A279" s="468"/>
      <c r="B279" s="467"/>
      <c r="C279" s="384" t="s">
        <v>152</v>
      </c>
      <c r="D279" s="64" t="s">
        <v>149</v>
      </c>
      <c r="E279" s="389">
        <f>1115.73*1.055*1.05</f>
        <v>1235.95</v>
      </c>
      <c r="F279" s="14">
        <f t="shared" si="14"/>
        <v>247.19</v>
      </c>
      <c r="G279" s="389">
        <f t="shared" si="15"/>
        <v>1483.14</v>
      </c>
      <c r="H279" s="31"/>
      <c r="I279" s="305" t="e">
        <f>#REF!*18%</f>
        <v>#REF!</v>
      </c>
      <c r="J279" s="305" t="e">
        <f>#REF!*1.18</f>
        <v>#REF!</v>
      </c>
      <c r="K279" s="326">
        <v>1.0549999999999999</v>
      </c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69">
        <f>(812.74*1.04)*1.2</f>
        <v>1014.3</v>
      </c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31"/>
      <c r="BH279" s="31"/>
      <c r="BI279" s="68">
        <f>1014.3*1.1</f>
        <v>1115.73</v>
      </c>
      <c r="BJ279" s="339">
        <f t="shared" si="16"/>
        <v>-120.22</v>
      </c>
      <c r="BK279" s="31"/>
      <c r="BL279" s="31"/>
      <c r="BM279" s="31"/>
      <c r="BN279" s="31"/>
      <c r="BO279" s="31"/>
      <c r="BP279" s="31"/>
      <c r="BQ279" s="31"/>
      <c r="BR279" s="31"/>
      <c r="BS279" s="31"/>
      <c r="BT279" s="31"/>
      <c r="BU279" s="31"/>
      <c r="BV279" s="31"/>
      <c r="BW279" s="31"/>
      <c r="BX279" s="31"/>
      <c r="BY279" s="31"/>
      <c r="BZ279" s="31"/>
      <c r="CA279" s="31"/>
      <c r="CB279" s="31"/>
      <c r="CC279" s="31"/>
      <c r="CD279" s="31"/>
      <c r="CE279" s="31"/>
      <c r="CF279" s="31"/>
      <c r="CG279" s="31"/>
      <c r="CH279" s="31"/>
      <c r="CI279" s="31"/>
      <c r="CJ279" s="31"/>
      <c r="CK279" s="31"/>
      <c r="CL279" s="31"/>
      <c r="CM279" s="31"/>
      <c r="CN279" s="31"/>
      <c r="CO279" s="31"/>
      <c r="CP279" s="31"/>
      <c r="CQ279" s="31"/>
      <c r="CR279" s="31"/>
      <c r="CS279" s="31"/>
      <c r="CT279" s="31"/>
      <c r="CU279" s="31"/>
      <c r="CV279" s="31"/>
      <c r="CW279" s="31"/>
      <c r="CX279" s="31"/>
      <c r="CY279" s="31"/>
      <c r="CZ279" s="31"/>
      <c r="DA279" s="31"/>
      <c r="DB279" s="31"/>
      <c r="DC279" s="31"/>
      <c r="DD279" s="31"/>
      <c r="DE279" s="31"/>
      <c r="DF279" s="31"/>
      <c r="DG279" s="31"/>
      <c r="DH279" s="31"/>
      <c r="DI279" s="31"/>
    </row>
    <row r="280" spans="1:113" s="22" customFormat="1" ht="24" customHeight="1" x14ac:dyDescent="0.2">
      <c r="A280" s="468" t="s">
        <v>29</v>
      </c>
      <c r="B280" s="467" t="s">
        <v>155</v>
      </c>
      <c r="C280" s="384" t="s">
        <v>148</v>
      </c>
      <c r="D280" s="64" t="s">
        <v>149</v>
      </c>
      <c r="E280" s="389">
        <f>661.22*1.055*1.05</f>
        <v>732.47</v>
      </c>
      <c r="F280" s="14">
        <f t="shared" si="14"/>
        <v>146.49</v>
      </c>
      <c r="G280" s="389">
        <f t="shared" si="15"/>
        <v>878.96</v>
      </c>
      <c r="H280" s="31"/>
      <c r="I280" s="305" t="e">
        <f>#REF!*18%</f>
        <v>#REF!</v>
      </c>
      <c r="J280" s="305" t="e">
        <f>#REF!*1.18</f>
        <v>#REF!</v>
      </c>
      <c r="K280" s="326">
        <v>1.0549999999999999</v>
      </c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66">
        <f>(481.66*1.04)*1.2</f>
        <v>601.11</v>
      </c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31"/>
      <c r="BH280" s="31"/>
      <c r="BI280" s="66">
        <f>601.11*1.1</f>
        <v>661.22</v>
      </c>
      <c r="BJ280" s="339">
        <f t="shared" si="16"/>
        <v>-71.25</v>
      </c>
      <c r="BK280" s="31"/>
      <c r="BL280" s="31"/>
      <c r="BM280" s="31"/>
      <c r="BN280" s="31"/>
      <c r="BO280" s="31"/>
      <c r="BP280" s="31"/>
      <c r="BQ280" s="31"/>
      <c r="BR280" s="31"/>
      <c r="BS280" s="31"/>
      <c r="BT280" s="31"/>
      <c r="BU280" s="31"/>
      <c r="BV280" s="31"/>
      <c r="BW280" s="31"/>
      <c r="BX280" s="31"/>
      <c r="BY280" s="31"/>
      <c r="BZ280" s="31"/>
      <c r="CA280" s="31"/>
      <c r="CB280" s="31"/>
      <c r="CC280" s="31"/>
      <c r="CD280" s="31"/>
      <c r="CE280" s="31"/>
      <c r="CF280" s="31"/>
      <c r="CG280" s="31"/>
      <c r="CH280" s="31"/>
      <c r="CI280" s="31"/>
      <c r="CJ280" s="31"/>
      <c r="CK280" s="31"/>
      <c r="CL280" s="31"/>
      <c r="CM280" s="31"/>
      <c r="CN280" s="31"/>
      <c r="CO280" s="31"/>
      <c r="CP280" s="31"/>
      <c r="CQ280" s="31"/>
      <c r="CR280" s="31"/>
      <c r="CS280" s="31"/>
      <c r="CT280" s="31"/>
      <c r="CU280" s="31"/>
      <c r="CV280" s="31"/>
      <c r="CW280" s="31"/>
      <c r="CX280" s="31"/>
      <c r="CY280" s="31"/>
      <c r="CZ280" s="31"/>
      <c r="DA280" s="31"/>
      <c r="DB280" s="31"/>
      <c r="DC280" s="31"/>
      <c r="DD280" s="31"/>
      <c r="DE280" s="31"/>
      <c r="DF280" s="31"/>
      <c r="DG280" s="31"/>
      <c r="DH280" s="31"/>
      <c r="DI280" s="31"/>
    </row>
    <row r="281" spans="1:113" s="22" customFormat="1" ht="27" customHeight="1" x14ac:dyDescent="0.2">
      <c r="A281" s="468"/>
      <c r="B281" s="467"/>
      <c r="C281" s="384" t="s">
        <v>154</v>
      </c>
      <c r="D281" s="64" t="s">
        <v>149</v>
      </c>
      <c r="E281" s="389">
        <f>686.51*1.055*1.05</f>
        <v>760.48</v>
      </c>
      <c r="F281" s="14">
        <f t="shared" si="14"/>
        <v>152.1</v>
      </c>
      <c r="G281" s="389">
        <f t="shared" si="15"/>
        <v>912.58</v>
      </c>
      <c r="H281" s="31"/>
      <c r="I281" s="305" t="e">
        <f>#REF!*18%</f>
        <v>#REF!</v>
      </c>
      <c r="J281" s="305" t="e">
        <f>#REF!*1.18</f>
        <v>#REF!</v>
      </c>
      <c r="K281" s="326">
        <v>1.0549999999999999</v>
      </c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89">
        <f>(500.08*1.04)*1.2</f>
        <v>624.1</v>
      </c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31"/>
      <c r="BH281" s="31"/>
      <c r="BI281" s="389">
        <f>624.1*1.1</f>
        <v>686.51</v>
      </c>
      <c r="BJ281" s="339">
        <f t="shared" si="16"/>
        <v>-73.97</v>
      </c>
      <c r="BK281" s="31"/>
      <c r="BL281" s="31"/>
      <c r="BM281" s="31"/>
      <c r="BN281" s="31"/>
      <c r="BO281" s="31"/>
      <c r="BP281" s="31"/>
      <c r="BQ281" s="31"/>
      <c r="BR281" s="31"/>
      <c r="BS281" s="31"/>
      <c r="BT281" s="31"/>
      <c r="BU281" s="31"/>
      <c r="BV281" s="31"/>
      <c r="BW281" s="31"/>
      <c r="BX281" s="31"/>
      <c r="BY281" s="31"/>
      <c r="BZ281" s="31"/>
      <c r="CA281" s="31"/>
      <c r="CB281" s="31"/>
      <c r="CC281" s="31"/>
      <c r="CD281" s="31"/>
      <c r="CE281" s="31"/>
      <c r="CF281" s="31"/>
      <c r="CG281" s="31"/>
      <c r="CH281" s="31"/>
      <c r="CI281" s="31"/>
      <c r="CJ281" s="31"/>
      <c r="CK281" s="31"/>
      <c r="CL281" s="31"/>
      <c r="CM281" s="31"/>
      <c r="CN281" s="31"/>
      <c r="CO281" s="31"/>
      <c r="CP281" s="31"/>
      <c r="CQ281" s="31"/>
      <c r="CR281" s="31"/>
      <c r="CS281" s="31"/>
      <c r="CT281" s="31"/>
      <c r="CU281" s="31"/>
      <c r="CV281" s="31"/>
      <c r="CW281" s="31"/>
      <c r="CX281" s="31"/>
      <c r="CY281" s="31"/>
      <c r="CZ281" s="31"/>
      <c r="DA281" s="31"/>
      <c r="DB281" s="31"/>
      <c r="DC281" s="31"/>
      <c r="DD281" s="31"/>
      <c r="DE281" s="31"/>
      <c r="DF281" s="31"/>
      <c r="DG281" s="31"/>
      <c r="DH281" s="31"/>
      <c r="DI281" s="31"/>
    </row>
    <row r="282" spans="1:113" s="22" customFormat="1" ht="24.75" customHeight="1" x14ac:dyDescent="0.2">
      <c r="A282" s="468"/>
      <c r="B282" s="467"/>
      <c r="C282" s="384" t="s">
        <v>151</v>
      </c>
      <c r="D282" s="64" t="s">
        <v>149</v>
      </c>
      <c r="E282" s="389">
        <f>729.78*1.055*1.05</f>
        <v>808.41</v>
      </c>
      <c r="F282" s="14">
        <f t="shared" si="14"/>
        <v>161.68</v>
      </c>
      <c r="G282" s="389">
        <f t="shared" si="15"/>
        <v>970.09</v>
      </c>
      <c r="H282" s="31"/>
      <c r="I282" s="305" t="e">
        <f>#REF!*18%</f>
        <v>#REF!</v>
      </c>
      <c r="J282" s="305" t="e">
        <f>#REF!*1.18</f>
        <v>#REF!</v>
      </c>
      <c r="K282" s="326">
        <v>1.0549999999999999</v>
      </c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89">
        <f>(531.6*1.04)*1.2</f>
        <v>663.44</v>
      </c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31"/>
      <c r="BH282" s="31"/>
      <c r="BI282" s="389">
        <f>663.44*1.1</f>
        <v>729.78</v>
      </c>
      <c r="BJ282" s="339">
        <f t="shared" si="16"/>
        <v>-78.63</v>
      </c>
      <c r="BK282" s="31"/>
      <c r="BL282" s="31"/>
      <c r="BM282" s="31"/>
      <c r="BN282" s="31"/>
      <c r="BO282" s="31"/>
      <c r="BP282" s="31"/>
      <c r="BQ282" s="31"/>
      <c r="BR282" s="31"/>
      <c r="BS282" s="31"/>
      <c r="BT282" s="31"/>
      <c r="BU282" s="31"/>
      <c r="BV282" s="31"/>
      <c r="BW282" s="31"/>
      <c r="BX282" s="31"/>
      <c r="BY282" s="31"/>
      <c r="BZ282" s="31"/>
      <c r="CA282" s="31"/>
      <c r="CB282" s="31"/>
      <c r="CC282" s="31"/>
      <c r="CD282" s="31"/>
      <c r="CE282" s="31"/>
      <c r="CF282" s="31"/>
      <c r="CG282" s="31"/>
      <c r="CH282" s="31"/>
      <c r="CI282" s="31"/>
      <c r="CJ282" s="31"/>
      <c r="CK282" s="31"/>
      <c r="CL282" s="31"/>
      <c r="CM282" s="31"/>
      <c r="CN282" s="31"/>
      <c r="CO282" s="31"/>
      <c r="CP282" s="31"/>
      <c r="CQ282" s="31"/>
      <c r="CR282" s="31"/>
      <c r="CS282" s="31"/>
      <c r="CT282" s="31"/>
      <c r="CU282" s="31"/>
      <c r="CV282" s="31"/>
      <c r="CW282" s="31"/>
      <c r="CX282" s="31"/>
      <c r="CY282" s="31"/>
      <c r="CZ282" s="31"/>
      <c r="DA282" s="31"/>
      <c r="DB282" s="31"/>
      <c r="DC282" s="31"/>
      <c r="DD282" s="31"/>
      <c r="DE282" s="31"/>
      <c r="DF282" s="31"/>
      <c r="DG282" s="31"/>
      <c r="DH282" s="31"/>
      <c r="DI282" s="31"/>
    </row>
    <row r="283" spans="1:113" s="22" customFormat="1" ht="25.5" customHeight="1" thickBot="1" x14ac:dyDescent="0.25">
      <c r="A283" s="468"/>
      <c r="B283" s="467"/>
      <c r="C283" s="384" t="s">
        <v>152</v>
      </c>
      <c r="D283" s="64" t="s">
        <v>149</v>
      </c>
      <c r="E283" s="389">
        <f>763.5*1.055*1.05</f>
        <v>845.77</v>
      </c>
      <c r="F283" s="14">
        <f t="shared" si="14"/>
        <v>169.15</v>
      </c>
      <c r="G283" s="389">
        <f t="shared" si="15"/>
        <v>1014.92</v>
      </c>
      <c r="H283" s="31"/>
      <c r="I283" s="305" t="e">
        <f>#REF!*18%</f>
        <v>#REF!</v>
      </c>
      <c r="J283" s="305" t="e">
        <f>#REF!*1.18</f>
        <v>#REF!</v>
      </c>
      <c r="K283" s="326">
        <v>1.0549999999999999</v>
      </c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69">
        <f>(556.16*1.04)*1.2</f>
        <v>694.09</v>
      </c>
      <c r="Z283" s="34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31"/>
      <c r="BH283" s="31"/>
      <c r="BI283" s="69">
        <f>694.09*1.1</f>
        <v>763.5</v>
      </c>
      <c r="BJ283" s="339">
        <f t="shared" si="16"/>
        <v>-82.27</v>
      </c>
      <c r="BK283" s="31"/>
      <c r="BL283" s="31"/>
      <c r="BM283" s="31"/>
      <c r="BN283" s="31"/>
      <c r="BO283" s="31"/>
      <c r="BP283" s="31"/>
      <c r="BQ283" s="31"/>
      <c r="BR283" s="31"/>
      <c r="BS283" s="31"/>
      <c r="BT283" s="31"/>
      <c r="BU283" s="31"/>
      <c r="BV283" s="31"/>
      <c r="BW283" s="31"/>
      <c r="BX283" s="31"/>
      <c r="BY283" s="31"/>
      <c r="BZ283" s="31"/>
      <c r="CA283" s="31"/>
      <c r="CB283" s="31"/>
      <c r="CC283" s="31"/>
      <c r="CD283" s="31"/>
      <c r="CE283" s="31"/>
      <c r="CF283" s="31"/>
      <c r="CG283" s="31"/>
      <c r="CH283" s="31"/>
      <c r="CI283" s="31"/>
      <c r="CJ283" s="31"/>
      <c r="CK283" s="31"/>
      <c r="CL283" s="31"/>
      <c r="CM283" s="31"/>
      <c r="CN283" s="31"/>
      <c r="CO283" s="31"/>
      <c r="CP283" s="31"/>
      <c r="CQ283" s="31"/>
      <c r="CR283" s="31"/>
      <c r="CS283" s="31"/>
      <c r="CT283" s="31"/>
      <c r="CU283" s="31"/>
      <c r="CV283" s="31"/>
      <c r="CW283" s="31"/>
      <c r="CX283" s="31"/>
      <c r="CY283" s="31"/>
      <c r="CZ283" s="31"/>
      <c r="DA283" s="31"/>
      <c r="DB283" s="31"/>
      <c r="DC283" s="31"/>
      <c r="DD283" s="31"/>
      <c r="DE283" s="31"/>
      <c r="DF283" s="31"/>
      <c r="DG283" s="31"/>
      <c r="DH283" s="31"/>
      <c r="DI283" s="31"/>
    </row>
    <row r="284" spans="1:113" s="22" customFormat="1" ht="19.5" customHeight="1" x14ac:dyDescent="0.2">
      <c r="A284" s="468" t="s">
        <v>31</v>
      </c>
      <c r="B284" s="467" t="s">
        <v>156</v>
      </c>
      <c r="C284" s="384" t="s">
        <v>148</v>
      </c>
      <c r="D284" s="64" t="s">
        <v>149</v>
      </c>
      <c r="E284" s="389">
        <f>970.02*1.055*1.05</f>
        <v>1074.54</v>
      </c>
      <c r="F284" s="14">
        <f t="shared" si="14"/>
        <v>214.91</v>
      </c>
      <c r="G284" s="389">
        <f t="shared" si="15"/>
        <v>1289.45</v>
      </c>
      <c r="H284" s="31"/>
      <c r="I284" s="305" t="e">
        <f>#REF!*18%</f>
        <v>#REF!</v>
      </c>
      <c r="J284" s="305" t="e">
        <f>#REF!*1.18</f>
        <v>#REF!</v>
      </c>
      <c r="K284" s="326">
        <v>1.0549999999999999</v>
      </c>
      <c r="L284" s="2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66">
        <f>(706.6*1.04)*1.2</f>
        <v>881.84</v>
      </c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31"/>
      <c r="BH284" s="31"/>
      <c r="BI284" s="66">
        <f>881.84*1.1</f>
        <v>970.02</v>
      </c>
      <c r="BJ284" s="339">
        <f t="shared" si="16"/>
        <v>-104.52</v>
      </c>
      <c r="BK284" s="31"/>
      <c r="BL284" s="31"/>
      <c r="BM284" s="31"/>
      <c r="BN284" s="31"/>
      <c r="BO284" s="31"/>
      <c r="BP284" s="31"/>
      <c r="BQ284" s="31"/>
      <c r="BR284" s="31"/>
      <c r="BS284" s="31"/>
      <c r="BT284" s="31"/>
      <c r="BU284" s="31"/>
      <c r="BV284" s="31"/>
      <c r="BW284" s="31"/>
      <c r="BX284" s="31"/>
      <c r="BY284" s="31"/>
      <c r="BZ284" s="31"/>
      <c r="CA284" s="31"/>
      <c r="CB284" s="31"/>
      <c r="CC284" s="31"/>
      <c r="CD284" s="31"/>
      <c r="CE284" s="31"/>
      <c r="CF284" s="31"/>
      <c r="CG284" s="31"/>
      <c r="CH284" s="31"/>
      <c r="CI284" s="31"/>
      <c r="CJ284" s="31"/>
      <c r="CK284" s="31"/>
      <c r="CL284" s="31"/>
      <c r="CM284" s="31"/>
      <c r="CN284" s="31"/>
      <c r="CO284" s="31"/>
      <c r="CP284" s="31"/>
      <c r="CQ284" s="31"/>
      <c r="CR284" s="31"/>
      <c r="CS284" s="31"/>
      <c r="CT284" s="31"/>
      <c r="CU284" s="31"/>
      <c r="CV284" s="31"/>
      <c r="CW284" s="31"/>
      <c r="CX284" s="31"/>
      <c r="CY284" s="31"/>
      <c r="CZ284" s="31"/>
      <c r="DA284" s="31"/>
      <c r="DB284" s="31"/>
      <c r="DC284" s="31"/>
      <c r="DD284" s="31"/>
      <c r="DE284" s="31"/>
      <c r="DF284" s="31"/>
      <c r="DG284" s="31"/>
      <c r="DH284" s="31"/>
      <c r="DI284" s="31"/>
    </row>
    <row r="285" spans="1:113" s="22" customFormat="1" ht="19.5" customHeight="1" x14ac:dyDescent="0.2">
      <c r="A285" s="468"/>
      <c r="B285" s="467"/>
      <c r="C285" s="384" t="s">
        <v>154</v>
      </c>
      <c r="D285" s="64" t="s">
        <v>149</v>
      </c>
      <c r="E285" s="389">
        <f>1021.53*1.055*1.05</f>
        <v>1131.5999999999999</v>
      </c>
      <c r="F285" s="14">
        <f t="shared" si="14"/>
        <v>226.32</v>
      </c>
      <c r="G285" s="389">
        <f t="shared" si="15"/>
        <v>1357.92</v>
      </c>
      <c r="H285" s="31"/>
      <c r="I285" s="305" t="e">
        <f>#REF!*18%</f>
        <v>#REF!</v>
      </c>
      <c r="J285" s="305" t="e">
        <f>#REF!*1.18</f>
        <v>#REF!</v>
      </c>
      <c r="K285" s="326">
        <v>1.0549999999999999</v>
      </c>
      <c r="L285" s="70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89">
        <f>(744.12*1.04)*1.2</f>
        <v>928.66</v>
      </c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31"/>
      <c r="BH285" s="31"/>
      <c r="BI285" s="389">
        <f>928.66*1.1</f>
        <v>1021.53</v>
      </c>
      <c r="BJ285" s="339">
        <f t="shared" si="16"/>
        <v>-110.07</v>
      </c>
      <c r="BK285" s="31"/>
      <c r="BL285" s="31"/>
      <c r="BM285" s="31"/>
      <c r="BN285" s="31"/>
      <c r="BO285" s="31"/>
      <c r="BP285" s="31"/>
      <c r="BQ285" s="31"/>
      <c r="BR285" s="31"/>
      <c r="BS285" s="31"/>
      <c r="BT285" s="31"/>
      <c r="BU285" s="31"/>
      <c r="BV285" s="31"/>
      <c r="BW285" s="31"/>
      <c r="BX285" s="31"/>
      <c r="BY285" s="31"/>
      <c r="BZ285" s="31"/>
      <c r="CA285" s="31"/>
      <c r="CB285" s="31"/>
      <c r="CC285" s="31"/>
      <c r="CD285" s="31"/>
      <c r="CE285" s="31"/>
      <c r="CF285" s="31"/>
      <c r="CG285" s="31"/>
      <c r="CH285" s="31"/>
      <c r="CI285" s="31"/>
      <c r="CJ285" s="31"/>
      <c r="CK285" s="31"/>
      <c r="CL285" s="31"/>
      <c r="CM285" s="31"/>
      <c r="CN285" s="31"/>
      <c r="CO285" s="31"/>
      <c r="CP285" s="31"/>
      <c r="CQ285" s="31"/>
      <c r="CR285" s="31"/>
      <c r="CS285" s="31"/>
      <c r="CT285" s="31"/>
      <c r="CU285" s="31"/>
      <c r="CV285" s="31"/>
      <c r="CW285" s="31"/>
      <c r="CX285" s="31"/>
      <c r="CY285" s="31"/>
      <c r="CZ285" s="31"/>
      <c r="DA285" s="31"/>
      <c r="DB285" s="31"/>
      <c r="DC285" s="31"/>
      <c r="DD285" s="31"/>
      <c r="DE285" s="31"/>
      <c r="DF285" s="31"/>
      <c r="DG285" s="31"/>
      <c r="DH285" s="31"/>
      <c r="DI285" s="31"/>
    </row>
    <row r="286" spans="1:113" s="22" customFormat="1" ht="21.75" customHeight="1" x14ac:dyDescent="0.2">
      <c r="A286" s="468"/>
      <c r="B286" s="467"/>
      <c r="C286" s="384" t="s">
        <v>151</v>
      </c>
      <c r="D286" s="64" t="s">
        <v>149</v>
      </c>
      <c r="E286" s="389">
        <f>1107.33*1.055*1.05</f>
        <v>1226.6400000000001</v>
      </c>
      <c r="F286" s="14">
        <f t="shared" si="14"/>
        <v>245.33</v>
      </c>
      <c r="G286" s="389">
        <f t="shared" si="15"/>
        <v>1471.97</v>
      </c>
      <c r="H286" s="31"/>
      <c r="I286" s="305" t="e">
        <f>#REF!*18%</f>
        <v>#REF!</v>
      </c>
      <c r="J286" s="305" t="e">
        <f>#REF!*1.18</f>
        <v>#REF!</v>
      </c>
      <c r="K286" s="326">
        <v>1.0549999999999999</v>
      </c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89">
        <f>(806.62*1.04)*1.2</f>
        <v>1006.66</v>
      </c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31"/>
      <c r="BH286" s="31"/>
      <c r="BI286" s="389">
        <f>1006.66*1.1</f>
        <v>1107.33</v>
      </c>
      <c r="BJ286" s="339">
        <f t="shared" si="16"/>
        <v>-119.31</v>
      </c>
      <c r="BK286" s="31"/>
      <c r="BL286" s="31"/>
      <c r="BM286" s="31"/>
      <c r="BN286" s="31"/>
      <c r="BO286" s="31"/>
      <c r="BP286" s="31"/>
      <c r="BQ286" s="31"/>
      <c r="BR286" s="31"/>
      <c r="BS286" s="31"/>
      <c r="BT286" s="31"/>
      <c r="BU286" s="31"/>
      <c r="BV286" s="31"/>
      <c r="BW286" s="31"/>
      <c r="BX286" s="31"/>
      <c r="BY286" s="31"/>
      <c r="BZ286" s="31"/>
      <c r="CA286" s="31"/>
      <c r="CB286" s="31"/>
      <c r="CC286" s="31"/>
      <c r="CD286" s="31"/>
      <c r="CE286" s="31"/>
      <c r="CF286" s="31"/>
      <c r="CG286" s="31"/>
      <c r="CH286" s="31"/>
      <c r="CI286" s="31"/>
      <c r="CJ286" s="31"/>
      <c r="CK286" s="31"/>
      <c r="CL286" s="31"/>
      <c r="CM286" s="31"/>
      <c r="CN286" s="31"/>
      <c r="CO286" s="31"/>
      <c r="CP286" s="31"/>
      <c r="CQ286" s="31"/>
      <c r="CR286" s="31"/>
      <c r="CS286" s="31"/>
      <c r="CT286" s="31"/>
      <c r="CU286" s="31"/>
      <c r="CV286" s="31"/>
      <c r="CW286" s="31"/>
      <c r="CX286" s="31"/>
      <c r="CY286" s="31"/>
      <c r="CZ286" s="31"/>
      <c r="DA286" s="31"/>
      <c r="DB286" s="31"/>
      <c r="DC286" s="31"/>
      <c r="DD286" s="31"/>
      <c r="DE286" s="31"/>
      <c r="DF286" s="31"/>
      <c r="DG286" s="31"/>
      <c r="DH286" s="31"/>
      <c r="DI286" s="31"/>
    </row>
    <row r="287" spans="1:113" s="22" customFormat="1" ht="26.25" customHeight="1" thickBot="1" x14ac:dyDescent="0.25">
      <c r="A287" s="468"/>
      <c r="B287" s="467"/>
      <c r="C287" s="384" t="s">
        <v>152</v>
      </c>
      <c r="D287" s="64" t="s">
        <v>149</v>
      </c>
      <c r="E287" s="389">
        <f>1175.86*1.055*1.05</f>
        <v>1302.56</v>
      </c>
      <c r="F287" s="14">
        <f t="shared" si="14"/>
        <v>260.51</v>
      </c>
      <c r="G287" s="389">
        <f t="shared" si="15"/>
        <v>1563.07</v>
      </c>
      <c r="H287" s="31"/>
      <c r="I287" s="305" t="e">
        <f>#REF!*18%</f>
        <v>#REF!</v>
      </c>
      <c r="J287" s="305" t="e">
        <f>#REF!*1.18</f>
        <v>#REF!</v>
      </c>
      <c r="K287" s="326">
        <v>1.0549999999999999</v>
      </c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71">
        <f>(856.54*1.04)*1.2</f>
        <v>1068.96</v>
      </c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31"/>
      <c r="BH287" s="31"/>
      <c r="BI287" s="71">
        <f>1068.96*1.1</f>
        <v>1175.8599999999999</v>
      </c>
      <c r="BJ287" s="339">
        <f t="shared" si="16"/>
        <v>-126.7</v>
      </c>
      <c r="BK287" s="31"/>
      <c r="BL287" s="31"/>
      <c r="BM287" s="31"/>
      <c r="BN287" s="31"/>
      <c r="BO287" s="31"/>
      <c r="BP287" s="31"/>
      <c r="BQ287" s="31"/>
      <c r="BR287" s="31"/>
      <c r="BS287" s="31"/>
      <c r="BT287" s="31"/>
      <c r="BU287" s="31"/>
      <c r="BV287" s="31"/>
      <c r="BW287" s="31"/>
      <c r="BX287" s="31"/>
      <c r="BY287" s="31"/>
      <c r="BZ287" s="31"/>
      <c r="CA287" s="31"/>
      <c r="CB287" s="31"/>
      <c r="CC287" s="31"/>
      <c r="CD287" s="31"/>
      <c r="CE287" s="31"/>
      <c r="CF287" s="31"/>
      <c r="CG287" s="31"/>
      <c r="CH287" s="31"/>
      <c r="CI287" s="31"/>
      <c r="CJ287" s="31"/>
      <c r="CK287" s="31"/>
      <c r="CL287" s="31"/>
      <c r="CM287" s="31"/>
      <c r="CN287" s="31"/>
      <c r="CO287" s="31"/>
      <c r="CP287" s="31"/>
      <c r="CQ287" s="31"/>
      <c r="CR287" s="31"/>
      <c r="CS287" s="31"/>
      <c r="CT287" s="31"/>
      <c r="CU287" s="31"/>
      <c r="CV287" s="31"/>
      <c r="CW287" s="31"/>
      <c r="CX287" s="31"/>
      <c r="CY287" s="31"/>
      <c r="CZ287" s="31"/>
      <c r="DA287" s="31"/>
      <c r="DB287" s="31"/>
      <c r="DC287" s="31"/>
      <c r="DD287" s="31"/>
      <c r="DE287" s="31"/>
      <c r="DF287" s="31"/>
      <c r="DG287" s="31"/>
      <c r="DH287" s="31"/>
      <c r="DI287" s="31"/>
    </row>
    <row r="288" spans="1:113" s="22" customFormat="1" ht="15.6" customHeight="1" x14ac:dyDescent="0.2">
      <c r="A288" s="468" t="s">
        <v>33</v>
      </c>
      <c r="B288" s="467" t="s">
        <v>157</v>
      </c>
      <c r="C288" s="384" t="s">
        <v>148</v>
      </c>
      <c r="D288" s="64" t="s">
        <v>149</v>
      </c>
      <c r="E288" s="389">
        <f>574.9*1.055*1.05</f>
        <v>636.85</v>
      </c>
      <c r="F288" s="14">
        <f t="shared" si="14"/>
        <v>127.37</v>
      </c>
      <c r="G288" s="389">
        <f t="shared" si="15"/>
        <v>764.22</v>
      </c>
      <c r="H288" s="31"/>
      <c r="I288" s="305" t="e">
        <f>#REF!*18%</f>
        <v>#REF!</v>
      </c>
      <c r="J288" s="305" t="e">
        <f>#REF!*1.18</f>
        <v>#REF!</v>
      </c>
      <c r="K288" s="326">
        <v>1.0549999999999999</v>
      </c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66">
        <f>(418.78*1.04)*1.2</f>
        <v>522.64</v>
      </c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31"/>
      <c r="AV288" s="3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31"/>
      <c r="BH288" s="31"/>
      <c r="BI288" s="66">
        <f>522.64*1.1</f>
        <v>574.9</v>
      </c>
      <c r="BJ288" s="339">
        <f t="shared" si="16"/>
        <v>-61.95</v>
      </c>
      <c r="BK288" s="31"/>
      <c r="BL288" s="31"/>
      <c r="BM288" s="31"/>
      <c r="BN288" s="31"/>
      <c r="BO288" s="31"/>
      <c r="BP288" s="31"/>
      <c r="BQ288" s="31"/>
      <c r="BR288" s="31"/>
      <c r="BS288" s="31"/>
      <c r="BT288" s="31"/>
      <c r="BU288" s="31"/>
      <c r="BV288" s="31"/>
      <c r="BW288" s="31"/>
      <c r="BX288" s="31"/>
      <c r="BY288" s="31"/>
      <c r="BZ288" s="31"/>
      <c r="CA288" s="31"/>
      <c r="CB288" s="31"/>
      <c r="CC288" s="31"/>
      <c r="CD288" s="31"/>
      <c r="CE288" s="31"/>
      <c r="CF288" s="31"/>
      <c r="CG288" s="31"/>
      <c r="CH288" s="31"/>
      <c r="CI288" s="31"/>
      <c r="CJ288" s="31"/>
      <c r="CK288" s="31"/>
      <c r="CL288" s="31"/>
      <c r="CM288" s="31"/>
      <c r="CN288" s="31"/>
      <c r="CO288" s="31"/>
      <c r="CP288" s="31"/>
      <c r="CQ288" s="31"/>
      <c r="CR288" s="31"/>
      <c r="CS288" s="31"/>
      <c r="CT288" s="31"/>
      <c r="CU288" s="31"/>
      <c r="CV288" s="31"/>
      <c r="CW288" s="31"/>
      <c r="CX288" s="31"/>
      <c r="CY288" s="31"/>
      <c r="CZ288" s="31"/>
      <c r="DA288" s="31"/>
      <c r="DB288" s="31"/>
      <c r="DC288" s="31"/>
      <c r="DD288" s="31"/>
      <c r="DE288" s="31"/>
      <c r="DF288" s="31"/>
      <c r="DG288" s="31"/>
      <c r="DH288" s="31"/>
      <c r="DI288" s="31"/>
    </row>
    <row r="289" spans="1:113" s="22" customFormat="1" ht="23.25" customHeight="1" x14ac:dyDescent="0.2">
      <c r="A289" s="468"/>
      <c r="B289" s="467"/>
      <c r="C289" s="384" t="s">
        <v>158</v>
      </c>
      <c r="D289" s="64" t="s">
        <v>149</v>
      </c>
      <c r="E289" s="389">
        <f>626.41*1.055*1.05</f>
        <v>693.91</v>
      </c>
      <c r="F289" s="14">
        <f t="shared" si="14"/>
        <v>138.78</v>
      </c>
      <c r="G289" s="389">
        <f t="shared" si="15"/>
        <v>832.69</v>
      </c>
      <c r="H289" s="31"/>
      <c r="I289" s="305" t="e">
        <f>#REF!*18%</f>
        <v>#REF!</v>
      </c>
      <c r="J289" s="305" t="e">
        <f>#REF!*1.18</f>
        <v>#REF!</v>
      </c>
      <c r="K289" s="326">
        <v>1.0549999999999999</v>
      </c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89">
        <f>(456.3*1.04)*1.2</f>
        <v>569.46</v>
      </c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31"/>
      <c r="BH289" s="31"/>
      <c r="BI289" s="389">
        <f>569.46*1.1</f>
        <v>626.41</v>
      </c>
      <c r="BJ289" s="339">
        <f t="shared" si="16"/>
        <v>-67.5</v>
      </c>
      <c r="BK289" s="31"/>
      <c r="BL289" s="31"/>
      <c r="BM289" s="31"/>
      <c r="BN289" s="31"/>
      <c r="BO289" s="31"/>
      <c r="BP289" s="31"/>
      <c r="BQ289" s="31"/>
      <c r="BR289" s="31"/>
      <c r="BS289" s="31"/>
      <c r="BT289" s="31"/>
      <c r="BU289" s="31"/>
      <c r="BV289" s="31"/>
      <c r="BW289" s="31"/>
      <c r="BX289" s="31"/>
      <c r="BY289" s="31"/>
      <c r="BZ289" s="31"/>
      <c r="CA289" s="31"/>
      <c r="CB289" s="31"/>
      <c r="CC289" s="31"/>
      <c r="CD289" s="31"/>
      <c r="CE289" s="31"/>
      <c r="CF289" s="31"/>
      <c r="CG289" s="31"/>
      <c r="CH289" s="31"/>
      <c r="CI289" s="31"/>
      <c r="CJ289" s="31"/>
      <c r="CK289" s="31"/>
      <c r="CL289" s="31"/>
      <c r="CM289" s="31"/>
      <c r="CN289" s="31"/>
      <c r="CO289" s="31"/>
      <c r="CP289" s="31"/>
      <c r="CQ289" s="31"/>
      <c r="CR289" s="31"/>
      <c r="CS289" s="31"/>
      <c r="CT289" s="31"/>
      <c r="CU289" s="31"/>
      <c r="CV289" s="31"/>
      <c r="CW289" s="31"/>
      <c r="CX289" s="31"/>
      <c r="CY289" s="31"/>
      <c r="CZ289" s="31"/>
      <c r="DA289" s="31"/>
      <c r="DB289" s="31"/>
      <c r="DC289" s="31"/>
      <c r="DD289" s="31"/>
      <c r="DE289" s="31"/>
      <c r="DF289" s="31"/>
      <c r="DG289" s="31"/>
      <c r="DH289" s="31"/>
      <c r="DI289" s="31"/>
    </row>
    <row r="290" spans="1:113" s="22" customFormat="1" ht="22.5" customHeight="1" x14ac:dyDescent="0.2">
      <c r="A290" s="468"/>
      <c r="B290" s="467"/>
      <c r="C290" s="384" t="s">
        <v>159</v>
      </c>
      <c r="D290" s="64" t="s">
        <v>149</v>
      </c>
      <c r="E290" s="389">
        <f>652.8*1.055*1.05</f>
        <v>723.14</v>
      </c>
      <c r="F290" s="14">
        <f t="shared" si="14"/>
        <v>144.63</v>
      </c>
      <c r="G290" s="389">
        <f t="shared" si="15"/>
        <v>867.77</v>
      </c>
      <c r="H290" s="31"/>
      <c r="I290" s="305" t="e">
        <f>#REF!*18%</f>
        <v>#REF!</v>
      </c>
      <c r="J290" s="305" t="e">
        <f>#REF!*1.18</f>
        <v>#REF!</v>
      </c>
      <c r="K290" s="326">
        <v>1.0549999999999999</v>
      </c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89">
        <f>(475.52*1.04)*1.2</f>
        <v>593.45000000000005</v>
      </c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31"/>
      <c r="BH290" s="31"/>
      <c r="BI290" s="389">
        <f>593.45*1.1</f>
        <v>652.79999999999995</v>
      </c>
      <c r="BJ290" s="339">
        <f t="shared" si="16"/>
        <v>-70.34</v>
      </c>
      <c r="BK290" s="31"/>
      <c r="BL290" s="31"/>
      <c r="BM290" s="31"/>
      <c r="BN290" s="31"/>
      <c r="BO290" s="31"/>
      <c r="BP290" s="31"/>
      <c r="BQ290" s="31"/>
      <c r="BR290" s="31"/>
      <c r="BS290" s="31"/>
      <c r="BT290" s="31"/>
      <c r="BU290" s="31"/>
      <c r="BV290" s="31"/>
      <c r="BW290" s="31"/>
      <c r="BX290" s="31"/>
      <c r="BY290" s="31"/>
      <c r="BZ290" s="31"/>
      <c r="CA290" s="31"/>
      <c r="CB290" s="31"/>
      <c r="CC290" s="31"/>
      <c r="CD290" s="31"/>
      <c r="CE290" s="31"/>
      <c r="CF290" s="31"/>
      <c r="CG290" s="31"/>
      <c r="CH290" s="31"/>
      <c r="CI290" s="31"/>
      <c r="CJ290" s="31"/>
      <c r="CK290" s="31"/>
      <c r="CL290" s="31"/>
      <c r="CM290" s="31"/>
      <c r="CN290" s="31"/>
      <c r="CO290" s="31"/>
      <c r="CP290" s="31"/>
      <c r="CQ290" s="31"/>
      <c r="CR290" s="31"/>
      <c r="CS290" s="31"/>
      <c r="CT290" s="31"/>
      <c r="CU290" s="31"/>
      <c r="CV290" s="31"/>
      <c r="CW290" s="31"/>
      <c r="CX290" s="31"/>
      <c r="CY290" s="31"/>
      <c r="CZ290" s="31"/>
      <c r="DA290" s="31"/>
      <c r="DB290" s="31"/>
      <c r="DC290" s="31"/>
      <c r="DD290" s="31"/>
      <c r="DE290" s="31"/>
      <c r="DF290" s="31"/>
      <c r="DG290" s="31"/>
      <c r="DH290" s="31"/>
      <c r="DI290" s="31"/>
    </row>
    <row r="291" spans="1:113" s="22" customFormat="1" ht="24" customHeight="1" thickBot="1" x14ac:dyDescent="0.25">
      <c r="A291" s="468"/>
      <c r="B291" s="467"/>
      <c r="C291" s="384" t="s">
        <v>152</v>
      </c>
      <c r="D291" s="64" t="s">
        <v>149</v>
      </c>
      <c r="E291" s="389">
        <f>686.51*1.055*1.05</f>
        <v>760.48</v>
      </c>
      <c r="F291" s="14">
        <f t="shared" si="14"/>
        <v>152.1</v>
      </c>
      <c r="G291" s="389">
        <f t="shared" si="15"/>
        <v>912.58</v>
      </c>
      <c r="H291" s="31"/>
      <c r="I291" s="305" t="e">
        <f>#REF!*18%</f>
        <v>#REF!</v>
      </c>
      <c r="J291" s="305" t="e">
        <f>#REF!*1.18</f>
        <v>#REF!</v>
      </c>
      <c r="K291" s="326">
        <v>1.0549999999999999</v>
      </c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68">
        <f>(500.08*1.04)*1.2</f>
        <v>624.1</v>
      </c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31"/>
      <c r="BH291" s="31"/>
      <c r="BI291" s="68">
        <f>624.1*1.1</f>
        <v>686.51</v>
      </c>
      <c r="BJ291" s="339">
        <f t="shared" si="16"/>
        <v>-73.97</v>
      </c>
      <c r="BK291" s="31"/>
      <c r="BL291" s="31"/>
      <c r="BM291" s="31"/>
      <c r="BN291" s="31"/>
      <c r="BO291" s="31"/>
      <c r="BP291" s="31"/>
      <c r="BQ291" s="31"/>
      <c r="BR291" s="31"/>
      <c r="BS291" s="31"/>
      <c r="BT291" s="31"/>
      <c r="BU291" s="31"/>
      <c r="BV291" s="31"/>
      <c r="BW291" s="31"/>
      <c r="BX291" s="31"/>
      <c r="BY291" s="31"/>
      <c r="BZ291" s="31"/>
      <c r="CA291" s="31"/>
      <c r="CB291" s="31"/>
      <c r="CC291" s="31"/>
      <c r="CD291" s="31"/>
      <c r="CE291" s="31"/>
      <c r="CF291" s="31"/>
      <c r="CG291" s="31"/>
      <c r="CH291" s="31"/>
      <c r="CI291" s="31"/>
      <c r="CJ291" s="31"/>
      <c r="CK291" s="31"/>
      <c r="CL291" s="31"/>
      <c r="CM291" s="31"/>
      <c r="CN291" s="31"/>
      <c r="CO291" s="31"/>
      <c r="CP291" s="31"/>
      <c r="CQ291" s="31"/>
      <c r="CR291" s="31"/>
      <c r="CS291" s="31"/>
      <c r="CT291" s="31"/>
      <c r="CU291" s="31"/>
      <c r="CV291" s="31"/>
      <c r="CW291" s="31"/>
      <c r="CX291" s="31"/>
      <c r="CY291" s="31"/>
      <c r="CZ291" s="31"/>
      <c r="DA291" s="31"/>
      <c r="DB291" s="31"/>
      <c r="DC291" s="31"/>
      <c r="DD291" s="31"/>
      <c r="DE291" s="31"/>
      <c r="DF291" s="31"/>
      <c r="DG291" s="31"/>
      <c r="DH291" s="31"/>
      <c r="DI291" s="31"/>
    </row>
    <row r="292" spans="1:113" s="22" customFormat="1" ht="15.6" customHeight="1" x14ac:dyDescent="0.2">
      <c r="A292" s="468" t="s">
        <v>35</v>
      </c>
      <c r="B292" s="467" t="s">
        <v>160</v>
      </c>
      <c r="C292" s="384" t="s">
        <v>161</v>
      </c>
      <c r="D292" s="64" t="s">
        <v>149</v>
      </c>
      <c r="E292" s="389">
        <f>858.06*1.055*1.05</f>
        <v>950.52</v>
      </c>
      <c r="F292" s="14">
        <f t="shared" si="14"/>
        <v>190.1</v>
      </c>
      <c r="G292" s="389">
        <f t="shared" si="15"/>
        <v>1140.6199999999999</v>
      </c>
      <c r="H292" s="31"/>
      <c r="I292" s="305" t="e">
        <f>#REF!*18%</f>
        <v>#REF!</v>
      </c>
      <c r="J292" s="305" t="e">
        <f>#REF!*1.18</f>
        <v>#REF!</v>
      </c>
      <c r="K292" s="326">
        <v>1.0549999999999999</v>
      </c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72">
        <f>(625.04*1.04)*1.2</f>
        <v>780.05</v>
      </c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31"/>
      <c r="BH292" s="31"/>
      <c r="BI292" s="72">
        <f>780.05*1.1</f>
        <v>858.06</v>
      </c>
      <c r="BJ292" s="339">
        <f t="shared" si="16"/>
        <v>-92.46</v>
      </c>
      <c r="BK292" s="31"/>
      <c r="BL292" s="31"/>
      <c r="BM292" s="31"/>
      <c r="BN292" s="31"/>
      <c r="BO292" s="31"/>
      <c r="BP292" s="31"/>
      <c r="BQ292" s="31"/>
      <c r="BR292" s="31"/>
      <c r="BS292" s="31"/>
      <c r="BT292" s="31"/>
      <c r="BU292" s="31"/>
      <c r="BV292" s="31"/>
      <c r="BW292" s="31"/>
      <c r="BX292" s="31"/>
      <c r="BY292" s="31"/>
      <c r="BZ292" s="31"/>
      <c r="CA292" s="31"/>
      <c r="CB292" s="31"/>
      <c r="CC292" s="31"/>
      <c r="CD292" s="31"/>
      <c r="CE292" s="31"/>
      <c r="CF292" s="31"/>
      <c r="CG292" s="31"/>
      <c r="CH292" s="31"/>
      <c r="CI292" s="31"/>
      <c r="CJ292" s="31"/>
      <c r="CK292" s="31"/>
      <c r="CL292" s="31"/>
      <c r="CM292" s="31"/>
      <c r="CN292" s="31"/>
      <c r="CO292" s="31"/>
      <c r="CP292" s="31"/>
      <c r="CQ292" s="31"/>
      <c r="CR292" s="31"/>
      <c r="CS292" s="31"/>
      <c r="CT292" s="31"/>
      <c r="CU292" s="31"/>
      <c r="CV292" s="31"/>
      <c r="CW292" s="31"/>
      <c r="CX292" s="31"/>
      <c r="CY292" s="31"/>
      <c r="CZ292" s="31"/>
      <c r="DA292" s="31"/>
      <c r="DB292" s="31"/>
      <c r="DC292" s="31"/>
      <c r="DD292" s="31"/>
      <c r="DE292" s="31"/>
      <c r="DF292" s="31"/>
      <c r="DG292" s="31"/>
      <c r="DH292" s="31"/>
      <c r="DI292" s="31"/>
    </row>
    <row r="293" spans="1:113" s="22" customFormat="1" ht="17.25" customHeight="1" x14ac:dyDescent="0.2">
      <c r="A293" s="468"/>
      <c r="B293" s="467"/>
      <c r="C293" s="384" t="s">
        <v>162</v>
      </c>
      <c r="D293" s="64" t="s">
        <v>149</v>
      </c>
      <c r="E293" s="389">
        <f>909.56*1.055*1.05</f>
        <v>1007.57</v>
      </c>
      <c r="F293" s="14">
        <f t="shared" si="14"/>
        <v>201.51</v>
      </c>
      <c r="G293" s="389">
        <f t="shared" si="15"/>
        <v>1209.08</v>
      </c>
      <c r="H293" s="31"/>
      <c r="I293" s="305" t="e">
        <f>#REF!*18%</f>
        <v>#REF!</v>
      </c>
      <c r="J293" s="305" t="e">
        <f>#REF!*1.18</f>
        <v>#REF!</v>
      </c>
      <c r="K293" s="326">
        <v>1.0549999999999999</v>
      </c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89">
        <f>(662.56*1.04)*1.2</f>
        <v>826.87</v>
      </c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31"/>
      <c r="BH293" s="31"/>
      <c r="BI293" s="389">
        <f>826.87*1.1</f>
        <v>909.56</v>
      </c>
      <c r="BJ293" s="339">
        <f t="shared" si="16"/>
        <v>-98.01</v>
      </c>
      <c r="BK293" s="31"/>
      <c r="BL293" s="31"/>
      <c r="BM293" s="31"/>
      <c r="BN293" s="31"/>
      <c r="BO293" s="31"/>
      <c r="BP293" s="31"/>
      <c r="BQ293" s="31"/>
      <c r="BR293" s="31"/>
      <c r="BS293" s="31"/>
      <c r="BT293" s="31"/>
      <c r="BU293" s="31"/>
      <c r="BV293" s="31"/>
      <c r="BW293" s="31"/>
      <c r="BX293" s="31"/>
      <c r="BY293" s="31"/>
      <c r="BZ293" s="31"/>
      <c r="CA293" s="31"/>
      <c r="CB293" s="31"/>
      <c r="CC293" s="31"/>
      <c r="CD293" s="31"/>
      <c r="CE293" s="31"/>
      <c r="CF293" s="31"/>
      <c r="CG293" s="31"/>
      <c r="CH293" s="31"/>
      <c r="CI293" s="31"/>
      <c r="CJ293" s="31"/>
      <c r="CK293" s="31"/>
      <c r="CL293" s="31"/>
      <c r="CM293" s="31"/>
      <c r="CN293" s="31"/>
      <c r="CO293" s="31"/>
      <c r="CP293" s="31"/>
      <c r="CQ293" s="31"/>
      <c r="CR293" s="31"/>
      <c r="CS293" s="31"/>
      <c r="CT293" s="31"/>
      <c r="CU293" s="31"/>
      <c r="CV293" s="31"/>
      <c r="CW293" s="31"/>
      <c r="CX293" s="31"/>
      <c r="CY293" s="31"/>
      <c r="CZ293" s="31"/>
      <c r="DA293" s="31"/>
      <c r="DB293" s="31"/>
      <c r="DC293" s="31"/>
      <c r="DD293" s="31"/>
      <c r="DE293" s="31"/>
      <c r="DF293" s="31"/>
      <c r="DG293" s="31"/>
      <c r="DH293" s="31"/>
      <c r="DI293" s="31"/>
    </row>
    <row r="294" spans="1:113" s="22" customFormat="1" ht="18" customHeight="1" thickBot="1" x14ac:dyDescent="0.25">
      <c r="A294" s="468"/>
      <c r="B294" s="467"/>
      <c r="C294" s="384" t="s">
        <v>152</v>
      </c>
      <c r="D294" s="64" t="s">
        <v>149</v>
      </c>
      <c r="E294" s="389">
        <f>1004.51*1.055*1.05</f>
        <v>1112.75</v>
      </c>
      <c r="F294" s="14">
        <f t="shared" si="14"/>
        <v>222.55</v>
      </c>
      <c r="G294" s="389">
        <f t="shared" si="15"/>
        <v>1335.3</v>
      </c>
      <c r="H294" s="31"/>
      <c r="I294" s="305" t="e">
        <f>#REF!*18%</f>
        <v>#REF!</v>
      </c>
      <c r="J294" s="305" t="e">
        <f>#REF!*1.18</f>
        <v>#REF!</v>
      </c>
      <c r="K294" s="326">
        <v>1.0549999999999999</v>
      </c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69">
        <f>(731.72*1.04)*1.2</f>
        <v>913.19</v>
      </c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31"/>
      <c r="BH294" s="31"/>
      <c r="BI294" s="69">
        <f>913.19*1.1</f>
        <v>1004.51</v>
      </c>
      <c r="BJ294" s="339">
        <f t="shared" si="16"/>
        <v>-108.24</v>
      </c>
      <c r="BK294" s="31"/>
      <c r="BL294" s="31"/>
      <c r="BM294" s="31"/>
      <c r="BN294" s="31"/>
      <c r="BO294" s="31"/>
      <c r="BP294" s="31"/>
      <c r="BQ294" s="31"/>
      <c r="BR294" s="31"/>
      <c r="BS294" s="31"/>
      <c r="BT294" s="31"/>
      <c r="BU294" s="31"/>
      <c r="BV294" s="31"/>
      <c r="BW294" s="31"/>
      <c r="BX294" s="31"/>
      <c r="BY294" s="31"/>
      <c r="BZ294" s="31"/>
      <c r="CA294" s="31"/>
      <c r="CB294" s="31"/>
      <c r="CC294" s="31"/>
      <c r="CD294" s="31"/>
      <c r="CE294" s="31"/>
      <c r="CF294" s="31"/>
      <c r="CG294" s="31"/>
      <c r="CH294" s="31"/>
      <c r="CI294" s="31"/>
      <c r="CJ294" s="31"/>
      <c r="CK294" s="31"/>
      <c r="CL294" s="31"/>
      <c r="CM294" s="31"/>
      <c r="CN294" s="31"/>
      <c r="CO294" s="31"/>
      <c r="CP294" s="31"/>
      <c r="CQ294" s="31"/>
      <c r="CR294" s="31"/>
      <c r="CS294" s="31"/>
      <c r="CT294" s="31"/>
      <c r="CU294" s="31"/>
      <c r="CV294" s="31"/>
      <c r="CW294" s="31"/>
      <c r="CX294" s="31"/>
      <c r="CY294" s="31"/>
      <c r="CZ294" s="31"/>
      <c r="DA294" s="31"/>
      <c r="DB294" s="31"/>
      <c r="DC294" s="31"/>
      <c r="DD294" s="31"/>
      <c r="DE294" s="31"/>
      <c r="DF294" s="31"/>
      <c r="DG294" s="31"/>
      <c r="DH294" s="31"/>
      <c r="DI294" s="31"/>
    </row>
    <row r="295" spans="1:113" s="22" customFormat="1" ht="17.25" customHeight="1" x14ac:dyDescent="0.2">
      <c r="A295" s="468" t="s">
        <v>37</v>
      </c>
      <c r="B295" s="467" t="s">
        <v>163</v>
      </c>
      <c r="C295" s="384" t="s">
        <v>148</v>
      </c>
      <c r="D295" s="64" t="s">
        <v>149</v>
      </c>
      <c r="E295" s="389">
        <f>583.72*1.055*1.05</f>
        <v>646.62</v>
      </c>
      <c r="F295" s="14">
        <f t="shared" si="14"/>
        <v>129.32</v>
      </c>
      <c r="G295" s="389">
        <f t="shared" si="15"/>
        <v>775.94</v>
      </c>
      <c r="H295" s="31"/>
      <c r="I295" s="305" t="e">
        <f>#REF!*18%</f>
        <v>#REF!</v>
      </c>
      <c r="J295" s="305" t="e">
        <f>#REF!*1.18</f>
        <v>#REF!</v>
      </c>
      <c r="K295" s="326">
        <v>1.0549999999999999</v>
      </c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66">
        <f>(425.2*1.04)*1.2</f>
        <v>530.65</v>
      </c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31"/>
      <c r="BH295" s="31"/>
      <c r="BI295" s="66">
        <f>530.65*1.1</f>
        <v>583.72</v>
      </c>
      <c r="BJ295" s="339">
        <f t="shared" si="16"/>
        <v>-62.9</v>
      </c>
      <c r="BK295" s="31"/>
      <c r="BL295" s="31"/>
      <c r="BM295" s="31"/>
      <c r="BN295" s="31"/>
      <c r="BO295" s="31"/>
      <c r="BP295" s="31"/>
      <c r="BQ295" s="31"/>
      <c r="BR295" s="31"/>
      <c r="BS295" s="31"/>
      <c r="BT295" s="31"/>
      <c r="BU295" s="31"/>
      <c r="BV295" s="31"/>
      <c r="BW295" s="31"/>
      <c r="BX295" s="31"/>
      <c r="BY295" s="31"/>
      <c r="BZ295" s="31"/>
      <c r="CA295" s="31"/>
      <c r="CB295" s="31"/>
      <c r="CC295" s="31"/>
      <c r="CD295" s="31"/>
      <c r="CE295" s="31"/>
      <c r="CF295" s="31"/>
      <c r="CG295" s="31"/>
      <c r="CH295" s="31"/>
      <c r="CI295" s="31"/>
      <c r="CJ295" s="31"/>
      <c r="CK295" s="31"/>
      <c r="CL295" s="31"/>
      <c r="CM295" s="31"/>
      <c r="CN295" s="31"/>
      <c r="CO295" s="31"/>
      <c r="CP295" s="31"/>
      <c r="CQ295" s="31"/>
      <c r="CR295" s="31"/>
      <c r="CS295" s="31"/>
      <c r="CT295" s="31"/>
      <c r="CU295" s="31"/>
      <c r="CV295" s="31"/>
      <c r="CW295" s="31"/>
      <c r="CX295" s="31"/>
      <c r="CY295" s="31"/>
      <c r="CZ295" s="31"/>
      <c r="DA295" s="31"/>
      <c r="DB295" s="31"/>
      <c r="DC295" s="31"/>
      <c r="DD295" s="31"/>
      <c r="DE295" s="31"/>
      <c r="DF295" s="31"/>
      <c r="DG295" s="31"/>
      <c r="DH295" s="31"/>
      <c r="DI295" s="31"/>
    </row>
    <row r="296" spans="1:113" s="22" customFormat="1" ht="19.5" customHeight="1" x14ac:dyDescent="0.2">
      <c r="A296" s="468"/>
      <c r="B296" s="467"/>
      <c r="C296" s="384" t="s">
        <v>164</v>
      </c>
      <c r="D296" s="64" t="s">
        <v>149</v>
      </c>
      <c r="E296" s="389">
        <f>635.22*1.055*1.05</f>
        <v>703.66</v>
      </c>
      <c r="F296" s="14">
        <f t="shared" si="14"/>
        <v>140.72999999999999</v>
      </c>
      <c r="G296" s="389">
        <f t="shared" si="15"/>
        <v>844.39</v>
      </c>
      <c r="H296" s="31"/>
      <c r="I296" s="305" t="e">
        <f>#REF!*18%</f>
        <v>#REF!</v>
      </c>
      <c r="J296" s="305" t="e">
        <f>#REF!*1.18</f>
        <v>#REF!</v>
      </c>
      <c r="K296" s="326">
        <v>1.0549999999999999</v>
      </c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89">
        <f>(462.72*1.04)*1.2</f>
        <v>577.47</v>
      </c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31"/>
      <c r="BH296" s="31"/>
      <c r="BI296" s="389">
        <f>577.47*1.1</f>
        <v>635.22</v>
      </c>
      <c r="BJ296" s="339">
        <f t="shared" si="16"/>
        <v>-68.44</v>
      </c>
      <c r="BK296" s="31"/>
      <c r="BL296" s="31"/>
      <c r="BM296" s="31"/>
      <c r="BN296" s="31"/>
      <c r="BO296" s="31"/>
      <c r="BP296" s="31"/>
      <c r="BQ296" s="31"/>
      <c r="BR296" s="31"/>
      <c r="BS296" s="31"/>
      <c r="BT296" s="31"/>
      <c r="BU296" s="31"/>
      <c r="BV296" s="31"/>
      <c r="BW296" s="31"/>
      <c r="BX296" s="31"/>
      <c r="BY296" s="31"/>
      <c r="BZ296" s="31"/>
      <c r="CA296" s="31"/>
      <c r="CB296" s="31"/>
      <c r="CC296" s="31"/>
      <c r="CD296" s="31"/>
      <c r="CE296" s="31"/>
      <c r="CF296" s="31"/>
      <c r="CG296" s="31"/>
      <c r="CH296" s="31"/>
      <c r="CI296" s="31"/>
      <c r="CJ296" s="31"/>
      <c r="CK296" s="31"/>
      <c r="CL296" s="31"/>
      <c r="CM296" s="31"/>
      <c r="CN296" s="31"/>
      <c r="CO296" s="31"/>
      <c r="CP296" s="31"/>
      <c r="CQ296" s="31"/>
      <c r="CR296" s="31"/>
      <c r="CS296" s="31"/>
      <c r="CT296" s="31"/>
      <c r="CU296" s="31"/>
      <c r="CV296" s="31"/>
      <c r="CW296" s="31"/>
      <c r="CX296" s="31"/>
      <c r="CY296" s="31"/>
      <c r="CZ296" s="31"/>
      <c r="DA296" s="31"/>
      <c r="DB296" s="31"/>
      <c r="DC296" s="31"/>
      <c r="DD296" s="31"/>
      <c r="DE296" s="31"/>
      <c r="DF296" s="31"/>
      <c r="DG296" s="31"/>
      <c r="DH296" s="31"/>
      <c r="DI296" s="31"/>
    </row>
    <row r="297" spans="1:113" s="22" customFormat="1" ht="18" customHeight="1" x14ac:dyDescent="0.2">
      <c r="A297" s="468"/>
      <c r="B297" s="467"/>
      <c r="C297" s="384" t="s">
        <v>165</v>
      </c>
      <c r="D297" s="64" t="s">
        <v>149</v>
      </c>
      <c r="E297" s="389">
        <f>721.02*1.055*1.05</f>
        <v>798.71</v>
      </c>
      <c r="F297" s="14">
        <f t="shared" si="14"/>
        <v>159.74</v>
      </c>
      <c r="G297" s="389">
        <f t="shared" si="15"/>
        <v>958.45</v>
      </c>
      <c r="H297" s="31"/>
      <c r="I297" s="305" t="e">
        <f>#REF!*18%</f>
        <v>#REF!</v>
      </c>
      <c r="J297" s="305" t="e">
        <f>#REF!*1.18</f>
        <v>#REF!</v>
      </c>
      <c r="K297" s="326">
        <v>1.0549999999999999</v>
      </c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89">
        <f>(525.22*1.04)*1.2</f>
        <v>655.47</v>
      </c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31"/>
      <c r="BH297" s="31"/>
      <c r="BI297" s="389">
        <f>655.47*1.1</f>
        <v>721.02</v>
      </c>
      <c r="BJ297" s="339">
        <f t="shared" si="16"/>
        <v>-77.69</v>
      </c>
      <c r="BK297" s="31"/>
      <c r="BL297" s="31"/>
      <c r="BM297" s="31"/>
      <c r="BN297" s="31"/>
      <c r="BO297" s="31"/>
      <c r="BP297" s="31"/>
      <c r="BQ297" s="31"/>
      <c r="BR297" s="31"/>
      <c r="BS297" s="31"/>
      <c r="BT297" s="31"/>
      <c r="BU297" s="31"/>
      <c r="BV297" s="31"/>
      <c r="BW297" s="31"/>
      <c r="BX297" s="31"/>
      <c r="BY297" s="31"/>
      <c r="BZ297" s="31"/>
      <c r="CA297" s="31"/>
      <c r="CB297" s="31"/>
      <c r="CC297" s="31"/>
      <c r="CD297" s="31"/>
      <c r="CE297" s="31"/>
      <c r="CF297" s="31"/>
      <c r="CG297" s="31"/>
      <c r="CH297" s="31"/>
      <c r="CI297" s="31"/>
      <c r="CJ297" s="31"/>
      <c r="CK297" s="31"/>
      <c r="CL297" s="31"/>
      <c r="CM297" s="31"/>
      <c r="CN297" s="31"/>
      <c r="CO297" s="31"/>
      <c r="CP297" s="31"/>
      <c r="CQ297" s="31"/>
      <c r="CR297" s="31"/>
      <c r="CS297" s="31"/>
      <c r="CT297" s="31"/>
      <c r="CU297" s="31"/>
      <c r="CV297" s="31"/>
      <c r="CW297" s="31"/>
      <c r="CX297" s="31"/>
      <c r="CY297" s="31"/>
      <c r="CZ297" s="31"/>
      <c r="DA297" s="31"/>
      <c r="DB297" s="31"/>
      <c r="DC297" s="31"/>
      <c r="DD297" s="31"/>
      <c r="DE297" s="31"/>
      <c r="DF297" s="31"/>
      <c r="DG297" s="31"/>
      <c r="DH297" s="31"/>
      <c r="DI297" s="31"/>
    </row>
    <row r="298" spans="1:113" s="22" customFormat="1" ht="16.5" customHeight="1" thickBot="1" x14ac:dyDescent="0.25">
      <c r="A298" s="468"/>
      <c r="B298" s="467"/>
      <c r="C298" s="384" t="s">
        <v>166</v>
      </c>
      <c r="D298" s="64" t="s">
        <v>149</v>
      </c>
      <c r="E298" s="389">
        <f>789.55*1.055*1.05</f>
        <v>874.62</v>
      </c>
      <c r="F298" s="14">
        <f t="shared" si="14"/>
        <v>174.92</v>
      </c>
      <c r="G298" s="389">
        <f t="shared" si="15"/>
        <v>1049.54</v>
      </c>
      <c r="H298" s="31"/>
      <c r="I298" s="305" t="e">
        <f>#REF!*18%</f>
        <v>#REF!</v>
      </c>
      <c r="J298" s="305" t="e">
        <f>#REF!*1.18</f>
        <v>#REF!</v>
      </c>
      <c r="K298" s="326">
        <v>1.0549999999999999</v>
      </c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68">
        <f>(575.14*1.04)*1.2</f>
        <v>717.77</v>
      </c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31"/>
      <c r="BH298" s="31"/>
      <c r="BI298" s="68">
        <f>717.77*1.1</f>
        <v>789.55</v>
      </c>
      <c r="BJ298" s="339">
        <f t="shared" si="16"/>
        <v>-85.07</v>
      </c>
      <c r="BK298" s="31"/>
      <c r="BL298" s="31"/>
      <c r="BM298" s="31"/>
      <c r="BN298" s="31"/>
      <c r="BO298" s="31"/>
      <c r="BP298" s="31"/>
      <c r="BQ298" s="31"/>
      <c r="BR298" s="31"/>
      <c r="BS298" s="31"/>
      <c r="BT298" s="31"/>
      <c r="BU298" s="31"/>
      <c r="BV298" s="31"/>
      <c r="BW298" s="31"/>
      <c r="BX298" s="31"/>
      <c r="BY298" s="31"/>
      <c r="BZ298" s="31"/>
      <c r="CA298" s="31"/>
      <c r="CB298" s="31"/>
      <c r="CC298" s="31"/>
      <c r="CD298" s="31"/>
      <c r="CE298" s="31"/>
      <c r="CF298" s="31"/>
      <c r="CG298" s="31"/>
      <c r="CH298" s="31"/>
      <c r="CI298" s="31"/>
      <c r="CJ298" s="31"/>
      <c r="CK298" s="31"/>
      <c r="CL298" s="31"/>
      <c r="CM298" s="31"/>
      <c r="CN298" s="31"/>
      <c r="CO298" s="31"/>
      <c r="CP298" s="31"/>
      <c r="CQ298" s="31"/>
      <c r="CR298" s="31"/>
      <c r="CS298" s="31"/>
      <c r="CT298" s="31"/>
      <c r="CU298" s="31"/>
      <c r="CV298" s="31"/>
      <c r="CW298" s="31"/>
      <c r="CX298" s="31"/>
      <c r="CY298" s="31"/>
      <c r="CZ298" s="31"/>
      <c r="DA298" s="31"/>
      <c r="DB298" s="31"/>
      <c r="DC298" s="31"/>
      <c r="DD298" s="31"/>
      <c r="DE298" s="31"/>
      <c r="DF298" s="31"/>
      <c r="DG298" s="31"/>
      <c r="DH298" s="31"/>
      <c r="DI298" s="31"/>
    </row>
    <row r="299" spans="1:113" s="22" customFormat="1" ht="16.5" customHeight="1" x14ac:dyDescent="0.2">
      <c r="A299" s="468" t="s">
        <v>39</v>
      </c>
      <c r="B299" s="467" t="s">
        <v>167</v>
      </c>
      <c r="C299" s="384" t="s">
        <v>148</v>
      </c>
      <c r="D299" s="64" t="s">
        <v>149</v>
      </c>
      <c r="E299" s="389">
        <f>846.38*1.055*1.05</f>
        <v>937.58</v>
      </c>
      <c r="F299" s="14">
        <f t="shared" si="14"/>
        <v>187.52</v>
      </c>
      <c r="G299" s="389">
        <f>E299+F299</f>
        <v>1125.0999999999999</v>
      </c>
      <c r="H299" s="31"/>
      <c r="I299" s="305"/>
      <c r="J299" s="305"/>
      <c r="K299" s="326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66">
        <f>(616.54*1.04)*1.2</f>
        <v>769.44</v>
      </c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31"/>
      <c r="BH299" s="31"/>
      <c r="BI299" s="66">
        <f>769.44*1.1</f>
        <v>846.38</v>
      </c>
      <c r="BJ299" s="339">
        <f t="shared" si="16"/>
        <v>-91.2</v>
      </c>
      <c r="BK299" s="31"/>
      <c r="BL299" s="31"/>
      <c r="BM299" s="31"/>
      <c r="BN299" s="31"/>
      <c r="BO299" s="31"/>
      <c r="BP299" s="31"/>
      <c r="BQ299" s="31"/>
      <c r="BR299" s="31"/>
      <c r="BS299" s="31"/>
      <c r="BT299" s="31"/>
      <c r="BU299" s="31"/>
      <c r="BV299" s="31"/>
      <c r="BW299" s="31"/>
      <c r="BX299" s="31"/>
      <c r="BY299" s="31"/>
      <c r="BZ299" s="31"/>
      <c r="CA299" s="31"/>
      <c r="CB299" s="31"/>
      <c r="CC299" s="31"/>
      <c r="CD299" s="31"/>
      <c r="CE299" s="31"/>
      <c r="CF299" s="31"/>
      <c r="CG299" s="31"/>
      <c r="CH299" s="31"/>
      <c r="CI299" s="31"/>
      <c r="CJ299" s="31"/>
      <c r="CK299" s="31"/>
      <c r="CL299" s="31"/>
      <c r="CM299" s="31"/>
      <c r="CN299" s="31"/>
      <c r="CO299" s="31"/>
      <c r="CP299" s="31"/>
      <c r="CQ299" s="31"/>
      <c r="CR299" s="31"/>
      <c r="CS299" s="31"/>
      <c r="CT299" s="31"/>
      <c r="CU299" s="31"/>
      <c r="CV299" s="31"/>
      <c r="CW299" s="31"/>
      <c r="CX299" s="31"/>
      <c r="CY299" s="31"/>
      <c r="CZ299" s="31"/>
      <c r="DA299" s="31"/>
      <c r="DB299" s="31"/>
      <c r="DC299" s="31"/>
      <c r="DD299" s="31"/>
      <c r="DE299" s="31"/>
      <c r="DF299" s="31"/>
      <c r="DG299" s="31"/>
      <c r="DH299" s="31"/>
      <c r="DI299" s="31"/>
    </row>
    <row r="300" spans="1:113" s="22" customFormat="1" ht="16.5" customHeight="1" x14ac:dyDescent="0.2">
      <c r="A300" s="468"/>
      <c r="B300" s="467"/>
      <c r="C300" s="384" t="s">
        <v>164</v>
      </c>
      <c r="D300" s="64" t="s">
        <v>149</v>
      </c>
      <c r="E300" s="389">
        <f>921.06*1.055*1.05</f>
        <v>1020.3</v>
      </c>
      <c r="F300" s="14">
        <f t="shared" si="14"/>
        <v>204.06</v>
      </c>
      <c r="G300" s="389">
        <f>E300+F300</f>
        <v>1224.3599999999999</v>
      </c>
      <c r="H300" s="31"/>
      <c r="I300" s="305"/>
      <c r="J300" s="305"/>
      <c r="K300" s="326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89">
        <f>(670.94*1.04)*1.2</f>
        <v>837.33</v>
      </c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31"/>
      <c r="BH300" s="31"/>
      <c r="BI300" s="389">
        <f>837.33*1.1</f>
        <v>921.06</v>
      </c>
      <c r="BJ300" s="339">
        <f t="shared" si="16"/>
        <v>-99.24</v>
      </c>
      <c r="BK300" s="31"/>
      <c r="BL300" s="31"/>
      <c r="BM300" s="31"/>
      <c r="BN300" s="31"/>
      <c r="BO300" s="31"/>
      <c r="BP300" s="31"/>
      <c r="BQ300" s="31"/>
      <c r="BR300" s="31"/>
      <c r="BS300" s="31"/>
      <c r="BT300" s="31"/>
      <c r="BU300" s="31"/>
      <c r="BV300" s="31"/>
      <c r="BW300" s="31"/>
      <c r="BX300" s="31"/>
      <c r="BY300" s="31"/>
      <c r="BZ300" s="31"/>
      <c r="CA300" s="31"/>
      <c r="CB300" s="31"/>
      <c r="CC300" s="31"/>
      <c r="CD300" s="31"/>
      <c r="CE300" s="31"/>
      <c r="CF300" s="31"/>
      <c r="CG300" s="31"/>
      <c r="CH300" s="31"/>
      <c r="CI300" s="31"/>
      <c r="CJ300" s="31"/>
      <c r="CK300" s="31"/>
      <c r="CL300" s="31"/>
      <c r="CM300" s="31"/>
      <c r="CN300" s="31"/>
      <c r="CO300" s="31"/>
      <c r="CP300" s="31"/>
      <c r="CQ300" s="31"/>
      <c r="CR300" s="31"/>
      <c r="CS300" s="31"/>
      <c r="CT300" s="31"/>
      <c r="CU300" s="31"/>
      <c r="CV300" s="31"/>
      <c r="CW300" s="31"/>
      <c r="CX300" s="31"/>
      <c r="CY300" s="31"/>
      <c r="CZ300" s="31"/>
      <c r="DA300" s="31"/>
      <c r="DB300" s="31"/>
      <c r="DC300" s="31"/>
      <c r="DD300" s="31"/>
      <c r="DE300" s="31"/>
      <c r="DF300" s="31"/>
      <c r="DG300" s="31"/>
      <c r="DH300" s="31"/>
      <c r="DI300" s="31"/>
    </row>
    <row r="301" spans="1:113" s="22" customFormat="1" ht="16.5" customHeight="1" x14ac:dyDescent="0.2">
      <c r="A301" s="468"/>
      <c r="B301" s="467"/>
      <c r="C301" s="384" t="s">
        <v>165</v>
      </c>
      <c r="D301" s="64" t="s">
        <v>149</v>
      </c>
      <c r="E301" s="389">
        <f>1045.48*1.055*1.05</f>
        <v>1158.1300000000001</v>
      </c>
      <c r="F301" s="14">
        <f t="shared" si="14"/>
        <v>231.63</v>
      </c>
      <c r="G301" s="389">
        <f>E301+F301</f>
        <v>1389.76</v>
      </c>
      <c r="H301" s="31"/>
      <c r="I301" s="305"/>
      <c r="J301" s="305"/>
      <c r="K301" s="326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89">
        <f>(761.57*1.04)*1.2</f>
        <v>950.44</v>
      </c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31"/>
      <c r="BH301" s="31"/>
      <c r="BI301" s="389">
        <f>950.44*1.1</f>
        <v>1045.48</v>
      </c>
      <c r="BJ301" s="339">
        <f t="shared" si="16"/>
        <v>-112.65</v>
      </c>
      <c r="BK301" s="31"/>
      <c r="BL301" s="31"/>
      <c r="BM301" s="31"/>
      <c r="BN301" s="31"/>
      <c r="BO301" s="31"/>
      <c r="BP301" s="31"/>
      <c r="BQ301" s="31"/>
      <c r="BR301" s="31"/>
      <c r="BS301" s="31"/>
      <c r="BT301" s="31"/>
      <c r="BU301" s="31"/>
      <c r="BV301" s="31"/>
      <c r="BW301" s="31"/>
      <c r="BX301" s="31"/>
      <c r="BY301" s="31"/>
      <c r="BZ301" s="31"/>
      <c r="CA301" s="31"/>
      <c r="CB301" s="31"/>
      <c r="CC301" s="31"/>
      <c r="CD301" s="31"/>
      <c r="CE301" s="31"/>
      <c r="CF301" s="31"/>
      <c r="CG301" s="31"/>
      <c r="CH301" s="31"/>
      <c r="CI301" s="31"/>
      <c r="CJ301" s="31"/>
      <c r="CK301" s="31"/>
      <c r="CL301" s="31"/>
      <c r="CM301" s="31"/>
      <c r="CN301" s="31"/>
      <c r="CO301" s="31"/>
      <c r="CP301" s="31"/>
      <c r="CQ301" s="31"/>
      <c r="CR301" s="31"/>
      <c r="CS301" s="31"/>
      <c r="CT301" s="31"/>
      <c r="CU301" s="31"/>
      <c r="CV301" s="31"/>
      <c r="CW301" s="31"/>
      <c r="CX301" s="31"/>
      <c r="CY301" s="31"/>
      <c r="CZ301" s="31"/>
      <c r="DA301" s="31"/>
      <c r="DB301" s="31"/>
      <c r="DC301" s="31"/>
      <c r="DD301" s="31"/>
      <c r="DE301" s="31"/>
      <c r="DF301" s="31"/>
      <c r="DG301" s="31"/>
      <c r="DH301" s="31"/>
      <c r="DI301" s="31"/>
    </row>
    <row r="302" spans="1:113" s="22" customFormat="1" ht="16.5" customHeight="1" thickBot="1" x14ac:dyDescent="0.25">
      <c r="A302" s="468"/>
      <c r="B302" s="467"/>
      <c r="C302" s="384" t="s">
        <v>166</v>
      </c>
      <c r="D302" s="64" t="s">
        <v>149</v>
      </c>
      <c r="E302" s="389">
        <f>1144.85*1.055*1.05</f>
        <v>1268.21</v>
      </c>
      <c r="F302" s="14">
        <f t="shared" si="14"/>
        <v>253.64</v>
      </c>
      <c r="G302" s="389">
        <f>E302+F302</f>
        <v>1521.85</v>
      </c>
      <c r="H302" s="31"/>
      <c r="I302" s="305"/>
      <c r="J302" s="305"/>
      <c r="K302" s="326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68">
        <f>(833.95*1.04)*1.2</f>
        <v>1040.77</v>
      </c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31"/>
      <c r="BH302" s="31"/>
      <c r="BI302" s="68">
        <f>1040.77*1.1</f>
        <v>1144.8499999999999</v>
      </c>
      <c r="BJ302" s="339">
        <f t="shared" si="16"/>
        <v>-123.36</v>
      </c>
      <c r="BK302" s="31"/>
      <c r="BL302" s="31"/>
      <c r="BM302" s="31"/>
      <c r="BN302" s="31"/>
      <c r="BO302" s="31"/>
      <c r="BP302" s="31"/>
      <c r="BQ302" s="31"/>
      <c r="BR302" s="31"/>
      <c r="BS302" s="31"/>
      <c r="BT302" s="31"/>
      <c r="BU302" s="31"/>
      <c r="BV302" s="31"/>
      <c r="BW302" s="31"/>
      <c r="BX302" s="31"/>
      <c r="BY302" s="31"/>
      <c r="BZ302" s="31"/>
      <c r="CA302" s="31"/>
      <c r="CB302" s="31"/>
      <c r="CC302" s="31"/>
      <c r="CD302" s="31"/>
      <c r="CE302" s="31"/>
      <c r="CF302" s="31"/>
      <c r="CG302" s="31"/>
      <c r="CH302" s="31"/>
      <c r="CI302" s="31"/>
      <c r="CJ302" s="31"/>
      <c r="CK302" s="31"/>
      <c r="CL302" s="31"/>
      <c r="CM302" s="31"/>
      <c r="CN302" s="31"/>
      <c r="CO302" s="31"/>
      <c r="CP302" s="31"/>
      <c r="CQ302" s="31"/>
      <c r="CR302" s="31"/>
      <c r="CS302" s="31"/>
      <c r="CT302" s="31"/>
      <c r="CU302" s="31"/>
      <c r="CV302" s="31"/>
      <c r="CW302" s="31"/>
      <c r="CX302" s="31"/>
      <c r="CY302" s="31"/>
      <c r="CZ302" s="31"/>
      <c r="DA302" s="31"/>
      <c r="DB302" s="31"/>
      <c r="DC302" s="31"/>
      <c r="DD302" s="31"/>
      <c r="DE302" s="31"/>
      <c r="DF302" s="31"/>
      <c r="DG302" s="31"/>
      <c r="DH302" s="31"/>
      <c r="DI302" s="31"/>
    </row>
    <row r="303" spans="1:113" s="22" customFormat="1" ht="23.25" customHeight="1" x14ac:dyDescent="0.2">
      <c r="A303" s="468" t="s">
        <v>41</v>
      </c>
      <c r="B303" s="467" t="s">
        <v>168</v>
      </c>
      <c r="C303" s="384" t="s">
        <v>148</v>
      </c>
      <c r="D303" s="64" t="s">
        <v>149</v>
      </c>
      <c r="E303" s="389">
        <f>643.84*1.055*1.05</f>
        <v>713.21</v>
      </c>
      <c r="F303" s="14">
        <f t="shared" si="14"/>
        <v>142.63999999999999</v>
      </c>
      <c r="G303" s="389">
        <f t="shared" si="15"/>
        <v>855.85</v>
      </c>
      <c r="H303" s="31"/>
      <c r="I303" s="305" t="e">
        <f>#REF!*18%</f>
        <v>#REF!</v>
      </c>
      <c r="J303" s="305" t="e">
        <f>#REF!*1.18</f>
        <v>#REF!</v>
      </c>
      <c r="K303" s="326">
        <v>1.0549999999999999</v>
      </c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66">
        <f>(469*1.04)*1.2</f>
        <v>585.30999999999995</v>
      </c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31"/>
      <c r="BH303" s="31"/>
      <c r="BI303" s="66">
        <f>585.31*1.1</f>
        <v>643.84</v>
      </c>
      <c r="BJ303" s="339">
        <f t="shared" si="16"/>
        <v>-69.37</v>
      </c>
      <c r="BK303" s="31"/>
      <c r="BL303" s="31"/>
      <c r="BM303" s="31"/>
      <c r="BN303" s="31"/>
      <c r="BO303" s="31"/>
      <c r="BP303" s="31"/>
      <c r="BQ303" s="31"/>
      <c r="BR303" s="31"/>
      <c r="BS303" s="31"/>
      <c r="BT303" s="31"/>
      <c r="BU303" s="31"/>
      <c r="BV303" s="31"/>
      <c r="BW303" s="31"/>
      <c r="BX303" s="31"/>
      <c r="BY303" s="31"/>
      <c r="BZ303" s="31"/>
      <c r="CA303" s="31"/>
      <c r="CB303" s="31"/>
      <c r="CC303" s="31"/>
      <c r="CD303" s="31"/>
      <c r="CE303" s="31"/>
      <c r="CF303" s="31"/>
      <c r="CG303" s="31"/>
      <c r="CH303" s="31"/>
      <c r="CI303" s="31"/>
      <c r="CJ303" s="31"/>
      <c r="CK303" s="31"/>
      <c r="CL303" s="31"/>
      <c r="CM303" s="31"/>
      <c r="CN303" s="31"/>
      <c r="CO303" s="31"/>
      <c r="CP303" s="31"/>
      <c r="CQ303" s="31"/>
      <c r="CR303" s="31"/>
      <c r="CS303" s="31"/>
      <c r="CT303" s="31"/>
      <c r="CU303" s="31"/>
      <c r="CV303" s="31"/>
      <c r="CW303" s="31"/>
      <c r="CX303" s="31"/>
      <c r="CY303" s="31"/>
      <c r="CZ303" s="31"/>
      <c r="DA303" s="31"/>
      <c r="DB303" s="31"/>
      <c r="DC303" s="31"/>
      <c r="DD303" s="31"/>
      <c r="DE303" s="31"/>
      <c r="DF303" s="31"/>
      <c r="DG303" s="31"/>
      <c r="DH303" s="31"/>
      <c r="DI303" s="31"/>
    </row>
    <row r="304" spans="1:113" s="22" customFormat="1" ht="21.75" customHeight="1" x14ac:dyDescent="0.2">
      <c r="A304" s="468"/>
      <c r="B304" s="467"/>
      <c r="C304" s="384" t="s">
        <v>169</v>
      </c>
      <c r="D304" s="64" t="s">
        <v>149</v>
      </c>
      <c r="E304" s="389">
        <f>695.35*1.055*1.05</f>
        <v>770.27</v>
      </c>
      <c r="F304" s="14">
        <f t="shared" si="14"/>
        <v>154.05000000000001</v>
      </c>
      <c r="G304" s="389">
        <f t="shared" si="15"/>
        <v>924.32</v>
      </c>
      <c r="H304" s="31"/>
      <c r="I304" s="305" t="e">
        <f>#REF!*18%</f>
        <v>#REF!</v>
      </c>
      <c r="J304" s="305" t="e">
        <f>#REF!*1.18</f>
        <v>#REF!</v>
      </c>
      <c r="K304" s="326">
        <v>1.0549999999999999</v>
      </c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89">
        <f>(506.52*1.04)*1.2</f>
        <v>632.14</v>
      </c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31"/>
      <c r="BH304" s="31"/>
      <c r="BI304" s="389">
        <f>632.14*1.1</f>
        <v>695.35</v>
      </c>
      <c r="BJ304" s="339">
        <f t="shared" si="16"/>
        <v>-74.92</v>
      </c>
      <c r="BK304" s="31"/>
      <c r="BL304" s="31"/>
      <c r="BM304" s="31"/>
      <c r="BN304" s="31"/>
      <c r="BO304" s="31"/>
      <c r="BP304" s="31"/>
      <c r="BQ304" s="31"/>
      <c r="BR304" s="31"/>
      <c r="BS304" s="31"/>
      <c r="BT304" s="31"/>
      <c r="BU304" s="31"/>
      <c r="BV304" s="31"/>
      <c r="BW304" s="31"/>
      <c r="BX304" s="31"/>
      <c r="BY304" s="31"/>
      <c r="BZ304" s="31"/>
      <c r="CA304" s="31"/>
      <c r="CB304" s="31"/>
      <c r="CC304" s="31"/>
      <c r="CD304" s="31"/>
      <c r="CE304" s="31"/>
      <c r="CF304" s="31"/>
      <c r="CG304" s="31"/>
      <c r="CH304" s="31"/>
      <c r="CI304" s="31"/>
      <c r="CJ304" s="31"/>
      <c r="CK304" s="31"/>
      <c r="CL304" s="31"/>
      <c r="CM304" s="31"/>
      <c r="CN304" s="31"/>
      <c r="CO304" s="31"/>
      <c r="CP304" s="31"/>
      <c r="CQ304" s="31"/>
      <c r="CR304" s="31"/>
      <c r="CS304" s="31"/>
      <c r="CT304" s="31"/>
      <c r="CU304" s="31"/>
      <c r="CV304" s="31"/>
      <c r="CW304" s="31"/>
      <c r="CX304" s="31"/>
      <c r="CY304" s="31"/>
      <c r="CZ304" s="31"/>
      <c r="DA304" s="31"/>
      <c r="DB304" s="31"/>
      <c r="DC304" s="31"/>
      <c r="DD304" s="31"/>
      <c r="DE304" s="31"/>
      <c r="DF304" s="31"/>
      <c r="DG304" s="31"/>
      <c r="DH304" s="31"/>
      <c r="DI304" s="31"/>
    </row>
    <row r="305" spans="1:113" s="22" customFormat="1" ht="23.25" customHeight="1" thickBot="1" x14ac:dyDescent="0.25">
      <c r="A305" s="468"/>
      <c r="B305" s="467"/>
      <c r="C305" s="384" t="s">
        <v>170</v>
      </c>
      <c r="D305" s="64" t="s">
        <v>149</v>
      </c>
      <c r="E305" s="389">
        <f>781.15*1.055*1.05</f>
        <v>865.32</v>
      </c>
      <c r="F305" s="14">
        <f t="shared" si="14"/>
        <v>173.06</v>
      </c>
      <c r="G305" s="389">
        <f t="shared" si="15"/>
        <v>1038.3800000000001</v>
      </c>
      <c r="H305" s="31"/>
      <c r="I305" s="305" t="e">
        <f>#REF!*18%</f>
        <v>#REF!</v>
      </c>
      <c r="J305" s="305" t="e">
        <f>#REF!*1.18</f>
        <v>#REF!</v>
      </c>
      <c r="K305" s="326">
        <v>1.0549999999999999</v>
      </c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68">
        <f>(569.02*1.04)*1.2</f>
        <v>710.14</v>
      </c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31"/>
      <c r="BH305" s="31"/>
      <c r="BI305" s="68">
        <f>710.14*1.1</f>
        <v>781.15</v>
      </c>
      <c r="BJ305" s="339">
        <f t="shared" si="16"/>
        <v>-84.17</v>
      </c>
      <c r="BK305" s="31"/>
      <c r="BL305" s="31"/>
      <c r="BM305" s="31"/>
      <c r="BN305" s="31"/>
      <c r="BO305" s="31"/>
      <c r="BP305" s="31"/>
      <c r="BQ305" s="31"/>
      <c r="BR305" s="31"/>
      <c r="BS305" s="31"/>
      <c r="BT305" s="31"/>
      <c r="BU305" s="31"/>
      <c r="BV305" s="31"/>
      <c r="BW305" s="31"/>
      <c r="BX305" s="31"/>
      <c r="BY305" s="31"/>
      <c r="BZ305" s="31"/>
      <c r="CA305" s="31"/>
      <c r="CB305" s="31"/>
      <c r="CC305" s="31"/>
      <c r="CD305" s="31"/>
      <c r="CE305" s="31"/>
      <c r="CF305" s="31"/>
      <c r="CG305" s="31"/>
      <c r="CH305" s="31"/>
      <c r="CI305" s="31"/>
      <c r="CJ305" s="31"/>
      <c r="CK305" s="31"/>
      <c r="CL305" s="31"/>
      <c r="CM305" s="31"/>
      <c r="CN305" s="31"/>
      <c r="CO305" s="31"/>
      <c r="CP305" s="31"/>
      <c r="CQ305" s="31"/>
      <c r="CR305" s="31"/>
      <c r="CS305" s="31"/>
      <c r="CT305" s="31"/>
      <c r="CU305" s="31"/>
      <c r="CV305" s="31"/>
      <c r="CW305" s="31"/>
      <c r="CX305" s="31"/>
      <c r="CY305" s="31"/>
      <c r="CZ305" s="31"/>
      <c r="DA305" s="31"/>
      <c r="DB305" s="31"/>
      <c r="DC305" s="31"/>
      <c r="DD305" s="31"/>
      <c r="DE305" s="31"/>
      <c r="DF305" s="31"/>
      <c r="DG305" s="31"/>
      <c r="DH305" s="31"/>
      <c r="DI305" s="31"/>
    </row>
    <row r="306" spans="1:113" s="22" customFormat="1" ht="23.25" customHeight="1" x14ac:dyDescent="0.2">
      <c r="A306" s="468" t="s">
        <v>44</v>
      </c>
      <c r="B306" s="467" t="s">
        <v>171</v>
      </c>
      <c r="C306" s="384" t="s">
        <v>148</v>
      </c>
      <c r="D306" s="64" t="s">
        <v>149</v>
      </c>
      <c r="E306" s="389">
        <f>933.64*1.055*1.05</f>
        <v>1034.24</v>
      </c>
      <c r="F306" s="14">
        <f t="shared" si="14"/>
        <v>206.85</v>
      </c>
      <c r="G306" s="389">
        <f>E306+F306</f>
        <v>1241.0899999999999</v>
      </c>
      <c r="H306" s="31"/>
      <c r="I306" s="305"/>
      <c r="J306" s="305"/>
      <c r="K306" s="326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66">
        <f>(680.1*1.04)*1.2</f>
        <v>848.76</v>
      </c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31"/>
      <c r="BH306" s="31"/>
      <c r="BI306" s="66">
        <f>848.76*1.1</f>
        <v>933.64</v>
      </c>
      <c r="BJ306" s="339">
        <f t="shared" si="16"/>
        <v>-100.6</v>
      </c>
      <c r="BK306" s="31"/>
      <c r="BL306" s="31"/>
      <c r="BM306" s="31"/>
      <c r="BN306" s="31"/>
      <c r="BO306" s="31"/>
      <c r="BP306" s="31"/>
      <c r="BQ306" s="31"/>
      <c r="BR306" s="31"/>
      <c r="BS306" s="31"/>
      <c r="BT306" s="31"/>
      <c r="BU306" s="31"/>
      <c r="BV306" s="31"/>
      <c r="BW306" s="31"/>
      <c r="BX306" s="31"/>
      <c r="BY306" s="31"/>
      <c r="BZ306" s="31"/>
      <c r="CA306" s="31"/>
      <c r="CB306" s="31"/>
      <c r="CC306" s="31"/>
      <c r="CD306" s="31"/>
      <c r="CE306" s="31"/>
      <c r="CF306" s="31"/>
      <c r="CG306" s="31"/>
      <c r="CH306" s="31"/>
      <c r="CI306" s="31"/>
      <c r="CJ306" s="31"/>
      <c r="CK306" s="31"/>
      <c r="CL306" s="31"/>
      <c r="CM306" s="31"/>
      <c r="CN306" s="31"/>
      <c r="CO306" s="31"/>
      <c r="CP306" s="31"/>
      <c r="CQ306" s="31"/>
      <c r="CR306" s="31"/>
      <c r="CS306" s="31"/>
      <c r="CT306" s="31"/>
      <c r="CU306" s="31"/>
      <c r="CV306" s="31"/>
      <c r="CW306" s="31"/>
      <c r="CX306" s="31"/>
      <c r="CY306" s="31"/>
      <c r="CZ306" s="31"/>
      <c r="DA306" s="31"/>
      <c r="DB306" s="31"/>
      <c r="DC306" s="31"/>
      <c r="DD306" s="31"/>
      <c r="DE306" s="31"/>
      <c r="DF306" s="31"/>
      <c r="DG306" s="31"/>
      <c r="DH306" s="31"/>
      <c r="DI306" s="31"/>
    </row>
    <row r="307" spans="1:113" s="22" customFormat="1" ht="23.25" customHeight="1" x14ac:dyDescent="0.2">
      <c r="A307" s="468"/>
      <c r="B307" s="467"/>
      <c r="C307" s="384" t="s">
        <v>169</v>
      </c>
      <c r="D307" s="64" t="s">
        <v>149</v>
      </c>
      <c r="E307" s="389">
        <f>1008.25*1.055*1.05</f>
        <v>1116.8900000000001</v>
      </c>
      <c r="F307" s="14">
        <f t="shared" si="14"/>
        <v>223.38</v>
      </c>
      <c r="G307" s="389">
        <f>E307+F307</f>
        <v>1340.27</v>
      </c>
      <c r="H307" s="31"/>
      <c r="I307" s="305"/>
      <c r="J307" s="305"/>
      <c r="K307" s="326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89">
        <f>(734.45*1.04)*1.2</f>
        <v>916.59</v>
      </c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31"/>
      <c r="BH307" s="31"/>
      <c r="BI307" s="389">
        <f>916.59*1.1</f>
        <v>1008.25</v>
      </c>
      <c r="BJ307" s="339">
        <f t="shared" si="16"/>
        <v>-108.64</v>
      </c>
      <c r="BK307" s="31"/>
      <c r="BL307" s="31"/>
      <c r="BM307" s="31"/>
      <c r="BN307" s="31"/>
      <c r="BO307" s="31"/>
      <c r="BP307" s="31"/>
      <c r="BQ307" s="31"/>
      <c r="BR307" s="31"/>
      <c r="BS307" s="31"/>
      <c r="BT307" s="31"/>
      <c r="BU307" s="31"/>
      <c r="BV307" s="31"/>
      <c r="BW307" s="31"/>
      <c r="BX307" s="31"/>
      <c r="BY307" s="31"/>
      <c r="BZ307" s="31"/>
      <c r="CA307" s="31"/>
      <c r="CB307" s="31"/>
      <c r="CC307" s="31"/>
      <c r="CD307" s="31"/>
      <c r="CE307" s="31"/>
      <c r="CF307" s="31"/>
      <c r="CG307" s="31"/>
      <c r="CH307" s="31"/>
      <c r="CI307" s="31"/>
      <c r="CJ307" s="31"/>
      <c r="CK307" s="31"/>
      <c r="CL307" s="31"/>
      <c r="CM307" s="31"/>
      <c r="CN307" s="31"/>
      <c r="CO307" s="31"/>
      <c r="CP307" s="31"/>
      <c r="CQ307" s="31"/>
      <c r="CR307" s="31"/>
      <c r="CS307" s="31"/>
      <c r="CT307" s="31"/>
      <c r="CU307" s="31"/>
      <c r="CV307" s="31"/>
      <c r="CW307" s="31"/>
      <c r="CX307" s="31"/>
      <c r="CY307" s="31"/>
      <c r="CZ307" s="31"/>
      <c r="DA307" s="31"/>
      <c r="DB307" s="31"/>
      <c r="DC307" s="31"/>
      <c r="DD307" s="31"/>
      <c r="DE307" s="31"/>
      <c r="DF307" s="31"/>
      <c r="DG307" s="31"/>
      <c r="DH307" s="31"/>
      <c r="DI307" s="31"/>
    </row>
    <row r="308" spans="1:113" s="22" customFormat="1" ht="23.25" customHeight="1" thickBot="1" x14ac:dyDescent="0.25">
      <c r="A308" s="468"/>
      <c r="B308" s="467"/>
      <c r="C308" s="384" t="s">
        <v>170</v>
      </c>
      <c r="D308" s="64" t="s">
        <v>149</v>
      </c>
      <c r="E308" s="389">
        <f>1132.67*1.055*1.05</f>
        <v>1254.72</v>
      </c>
      <c r="F308" s="14">
        <f t="shared" si="14"/>
        <v>250.94</v>
      </c>
      <c r="G308" s="389">
        <f>E308+F308</f>
        <v>1505.66</v>
      </c>
      <c r="H308" s="31"/>
      <c r="I308" s="305"/>
      <c r="J308" s="305"/>
      <c r="K308" s="326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68">
        <f>(825.08*1.04)*1.2</f>
        <v>1029.7</v>
      </c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31"/>
      <c r="BH308" s="31"/>
      <c r="BI308" s="68">
        <f>1029.7*1.1</f>
        <v>1132.67</v>
      </c>
      <c r="BJ308" s="339">
        <f t="shared" si="16"/>
        <v>-122.05</v>
      </c>
      <c r="BK308" s="31"/>
      <c r="BL308" s="31"/>
      <c r="BM308" s="31"/>
      <c r="BN308" s="31"/>
      <c r="BO308" s="31"/>
      <c r="BP308" s="31"/>
      <c r="BQ308" s="31"/>
      <c r="BR308" s="31"/>
      <c r="BS308" s="31"/>
      <c r="BT308" s="31"/>
      <c r="BU308" s="31"/>
      <c r="BV308" s="31"/>
      <c r="BW308" s="31"/>
      <c r="BX308" s="31"/>
      <c r="BY308" s="31"/>
      <c r="BZ308" s="31"/>
      <c r="CA308" s="31"/>
      <c r="CB308" s="31"/>
      <c r="CC308" s="31"/>
      <c r="CD308" s="31"/>
      <c r="CE308" s="31"/>
      <c r="CF308" s="31"/>
      <c r="CG308" s="31"/>
      <c r="CH308" s="31"/>
      <c r="CI308" s="31"/>
      <c r="CJ308" s="31"/>
      <c r="CK308" s="31"/>
      <c r="CL308" s="31"/>
      <c r="CM308" s="31"/>
      <c r="CN308" s="31"/>
      <c r="CO308" s="31"/>
      <c r="CP308" s="31"/>
      <c r="CQ308" s="31"/>
      <c r="CR308" s="31"/>
      <c r="CS308" s="31"/>
      <c r="CT308" s="31"/>
      <c r="CU308" s="31"/>
      <c r="CV308" s="31"/>
      <c r="CW308" s="31"/>
      <c r="CX308" s="31"/>
      <c r="CY308" s="31"/>
      <c r="CZ308" s="31"/>
      <c r="DA308" s="31"/>
      <c r="DB308" s="31"/>
      <c r="DC308" s="31"/>
      <c r="DD308" s="31"/>
      <c r="DE308" s="31"/>
      <c r="DF308" s="31"/>
      <c r="DG308" s="31"/>
      <c r="DH308" s="31"/>
      <c r="DI308" s="31"/>
    </row>
    <row r="309" spans="1:113" s="22" customFormat="1" ht="26.25" customHeight="1" x14ac:dyDescent="0.2">
      <c r="A309" s="468" t="s">
        <v>46</v>
      </c>
      <c r="B309" s="467" t="s">
        <v>172</v>
      </c>
      <c r="C309" s="384" t="s">
        <v>148</v>
      </c>
      <c r="D309" s="64" t="s">
        <v>149</v>
      </c>
      <c r="E309" s="389">
        <f>678.08*1.055*1.05</f>
        <v>751.14</v>
      </c>
      <c r="F309" s="14">
        <f t="shared" si="14"/>
        <v>150.22999999999999</v>
      </c>
      <c r="G309" s="389">
        <f t="shared" si="15"/>
        <v>901.37</v>
      </c>
      <c r="H309" s="31"/>
      <c r="I309" s="305" t="e">
        <f>#REF!*18%</f>
        <v>#REF!</v>
      </c>
      <c r="J309" s="305" t="e">
        <f>#REF!*1.18</f>
        <v>#REF!</v>
      </c>
      <c r="K309" s="326">
        <v>1.0549999999999999</v>
      </c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66">
        <f>(493.94*1.04)*1.2</f>
        <v>616.44000000000005</v>
      </c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31"/>
      <c r="BH309" s="31"/>
      <c r="BI309" s="72">
        <f>616.44*1.1</f>
        <v>678.08</v>
      </c>
      <c r="BJ309" s="339">
        <f t="shared" si="16"/>
        <v>-73.06</v>
      </c>
      <c r="BK309" s="31"/>
      <c r="BL309" s="31"/>
      <c r="BM309" s="31"/>
      <c r="BN309" s="31"/>
      <c r="BO309" s="31"/>
      <c r="BP309" s="31"/>
      <c r="BQ309" s="31"/>
      <c r="BR309" s="31"/>
      <c r="BS309" s="31"/>
      <c r="BT309" s="31"/>
      <c r="BU309" s="31"/>
      <c r="BV309" s="31"/>
      <c r="BW309" s="31"/>
      <c r="BX309" s="31"/>
      <c r="BY309" s="31"/>
      <c r="BZ309" s="31"/>
      <c r="CA309" s="31"/>
      <c r="CB309" s="31"/>
      <c r="CC309" s="31"/>
      <c r="CD309" s="31"/>
      <c r="CE309" s="31"/>
      <c r="CF309" s="31"/>
      <c r="CG309" s="31"/>
      <c r="CH309" s="31"/>
      <c r="CI309" s="31"/>
      <c r="CJ309" s="31"/>
      <c r="CK309" s="31"/>
      <c r="CL309" s="31"/>
      <c r="CM309" s="31"/>
      <c r="CN309" s="31"/>
      <c r="CO309" s="31"/>
      <c r="CP309" s="31"/>
      <c r="CQ309" s="31"/>
      <c r="CR309" s="31"/>
      <c r="CS309" s="31"/>
      <c r="CT309" s="31"/>
      <c r="CU309" s="31"/>
      <c r="CV309" s="31"/>
      <c r="CW309" s="31"/>
      <c r="CX309" s="31"/>
      <c r="CY309" s="31"/>
      <c r="CZ309" s="31"/>
      <c r="DA309" s="31"/>
      <c r="DB309" s="31"/>
      <c r="DC309" s="31"/>
      <c r="DD309" s="31"/>
      <c r="DE309" s="31"/>
      <c r="DF309" s="31"/>
      <c r="DG309" s="31"/>
      <c r="DH309" s="31"/>
      <c r="DI309" s="31"/>
    </row>
    <row r="310" spans="1:113" s="22" customFormat="1" ht="22.5" customHeight="1" x14ac:dyDescent="0.2">
      <c r="A310" s="469"/>
      <c r="B310" s="467"/>
      <c r="C310" s="384" t="s">
        <v>154</v>
      </c>
      <c r="D310" s="64" t="s">
        <v>149</v>
      </c>
      <c r="E310" s="389">
        <f>729.62*1.055*1.05</f>
        <v>808.24</v>
      </c>
      <c r="F310" s="14">
        <f t="shared" si="14"/>
        <v>161.65</v>
      </c>
      <c r="G310" s="389">
        <f t="shared" si="15"/>
        <v>969.89</v>
      </c>
      <c r="H310" s="31"/>
      <c r="I310" s="305" t="e">
        <f>#REF!*18%</f>
        <v>#REF!</v>
      </c>
      <c r="J310" s="305" t="e">
        <f>#REF!*1.18</f>
        <v>#REF!</v>
      </c>
      <c r="K310" s="326">
        <v>1.0549999999999999</v>
      </c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89">
        <f>(531.48*1.04)*1.2</f>
        <v>663.29</v>
      </c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31"/>
      <c r="BH310" s="31"/>
      <c r="BI310" s="389">
        <f>663.29*1.1</f>
        <v>729.62</v>
      </c>
      <c r="BJ310" s="339">
        <f t="shared" si="16"/>
        <v>-78.62</v>
      </c>
      <c r="BK310" s="31"/>
      <c r="BL310" s="31"/>
      <c r="BM310" s="31"/>
      <c r="BN310" s="31"/>
      <c r="BO310" s="31"/>
      <c r="BP310" s="31"/>
      <c r="BQ310" s="31"/>
      <c r="BR310" s="31"/>
      <c r="BS310" s="31"/>
      <c r="BT310" s="31"/>
      <c r="BU310" s="31"/>
      <c r="BV310" s="31"/>
      <c r="BW310" s="31"/>
      <c r="BX310" s="31"/>
      <c r="BY310" s="31"/>
      <c r="BZ310" s="31"/>
      <c r="CA310" s="31"/>
      <c r="CB310" s="31"/>
      <c r="CC310" s="31"/>
      <c r="CD310" s="31"/>
      <c r="CE310" s="31"/>
      <c r="CF310" s="31"/>
      <c r="CG310" s="31"/>
      <c r="CH310" s="31"/>
      <c r="CI310" s="31"/>
      <c r="CJ310" s="31"/>
      <c r="CK310" s="31"/>
      <c r="CL310" s="31"/>
      <c r="CM310" s="31"/>
      <c r="CN310" s="31"/>
      <c r="CO310" s="31"/>
      <c r="CP310" s="31"/>
      <c r="CQ310" s="31"/>
      <c r="CR310" s="31"/>
      <c r="CS310" s="31"/>
      <c r="CT310" s="31"/>
      <c r="CU310" s="31"/>
      <c r="CV310" s="31"/>
      <c r="CW310" s="31"/>
      <c r="CX310" s="31"/>
      <c r="CY310" s="31"/>
      <c r="CZ310" s="31"/>
      <c r="DA310" s="31"/>
      <c r="DB310" s="31"/>
      <c r="DC310" s="31"/>
      <c r="DD310" s="31"/>
      <c r="DE310" s="31"/>
      <c r="DF310" s="31"/>
      <c r="DG310" s="31"/>
      <c r="DH310" s="31"/>
      <c r="DI310" s="31"/>
    </row>
    <row r="311" spans="1:113" s="22" customFormat="1" ht="23.25" customHeight="1" x14ac:dyDescent="0.2">
      <c r="A311" s="469"/>
      <c r="B311" s="467"/>
      <c r="C311" s="384" t="s">
        <v>173</v>
      </c>
      <c r="D311" s="64" t="s">
        <v>149</v>
      </c>
      <c r="E311" s="389">
        <f>772.75*1.055*1.05</f>
        <v>856.01</v>
      </c>
      <c r="F311" s="14">
        <f t="shared" si="14"/>
        <v>171.2</v>
      </c>
      <c r="G311" s="389">
        <f t="shared" si="15"/>
        <v>1027.21</v>
      </c>
      <c r="H311" s="31"/>
      <c r="I311" s="305" t="e">
        <f>#REF!*18%</f>
        <v>#REF!</v>
      </c>
      <c r="J311" s="305" t="e">
        <f>#REF!*1.18</f>
        <v>#REF!</v>
      </c>
      <c r="K311" s="326">
        <v>1.0549999999999999</v>
      </c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89">
        <f>(562.9*1.04)*1.2</f>
        <v>702.5</v>
      </c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31"/>
      <c r="BH311" s="31"/>
      <c r="BI311" s="389">
        <f>702.5*1.1</f>
        <v>772.75</v>
      </c>
      <c r="BJ311" s="339">
        <f t="shared" si="16"/>
        <v>-83.26</v>
      </c>
      <c r="BK311" s="31"/>
      <c r="BL311" s="31"/>
      <c r="BM311" s="31"/>
      <c r="BN311" s="31"/>
      <c r="BO311" s="31"/>
      <c r="BP311" s="31"/>
      <c r="BQ311" s="31"/>
      <c r="BR311" s="31"/>
      <c r="BS311" s="31"/>
      <c r="BT311" s="31"/>
      <c r="BU311" s="31"/>
      <c r="BV311" s="31"/>
      <c r="BW311" s="31"/>
      <c r="BX311" s="31"/>
      <c r="BY311" s="31"/>
      <c r="BZ311" s="31"/>
      <c r="CA311" s="31"/>
      <c r="CB311" s="31"/>
      <c r="CC311" s="31"/>
      <c r="CD311" s="31"/>
      <c r="CE311" s="31"/>
      <c r="CF311" s="31"/>
      <c r="CG311" s="31"/>
      <c r="CH311" s="31"/>
      <c r="CI311" s="31"/>
      <c r="CJ311" s="31"/>
      <c r="CK311" s="31"/>
      <c r="CL311" s="31"/>
      <c r="CM311" s="31"/>
      <c r="CN311" s="31"/>
      <c r="CO311" s="31"/>
      <c r="CP311" s="31"/>
      <c r="CQ311" s="31"/>
      <c r="CR311" s="31"/>
      <c r="CS311" s="31"/>
      <c r="CT311" s="31"/>
      <c r="CU311" s="31"/>
      <c r="CV311" s="31"/>
      <c r="CW311" s="31"/>
      <c r="CX311" s="31"/>
      <c r="CY311" s="31"/>
      <c r="CZ311" s="31"/>
      <c r="DA311" s="31"/>
      <c r="DB311" s="31"/>
      <c r="DC311" s="31"/>
      <c r="DD311" s="31"/>
      <c r="DE311" s="31"/>
      <c r="DF311" s="31"/>
      <c r="DG311" s="31"/>
      <c r="DH311" s="31"/>
      <c r="DI311" s="31"/>
    </row>
    <row r="312" spans="1:113" s="22" customFormat="1" ht="23.25" customHeight="1" thickBot="1" x14ac:dyDescent="0.25">
      <c r="A312" s="469"/>
      <c r="B312" s="467"/>
      <c r="C312" s="384" t="s">
        <v>174</v>
      </c>
      <c r="D312" s="64" t="s">
        <v>149</v>
      </c>
      <c r="E312" s="389">
        <f>858.13*1.055*1.05</f>
        <v>950.59</v>
      </c>
      <c r="F312" s="14">
        <f t="shared" si="14"/>
        <v>190.12</v>
      </c>
      <c r="G312" s="389">
        <f t="shared" si="15"/>
        <v>1140.71</v>
      </c>
      <c r="H312" s="31"/>
      <c r="I312" s="305"/>
      <c r="J312" s="305"/>
      <c r="K312" s="326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68">
        <f>(625.1*1.04)*1.2</f>
        <v>780.12</v>
      </c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31"/>
      <c r="BH312" s="31"/>
      <c r="BI312" s="68">
        <f>780.12*1.1</f>
        <v>858.13</v>
      </c>
      <c r="BJ312" s="339">
        <f t="shared" si="16"/>
        <v>-92.46</v>
      </c>
      <c r="BK312" s="31"/>
      <c r="BL312" s="31"/>
      <c r="BM312" s="31"/>
      <c r="BN312" s="31"/>
      <c r="BO312" s="31"/>
      <c r="BP312" s="31"/>
      <c r="BQ312" s="31"/>
      <c r="BR312" s="31"/>
      <c r="BS312" s="31"/>
      <c r="BT312" s="31"/>
      <c r="BU312" s="31"/>
      <c r="BV312" s="31"/>
      <c r="BW312" s="31"/>
      <c r="BX312" s="31"/>
      <c r="BY312" s="31"/>
      <c r="BZ312" s="31"/>
      <c r="CA312" s="31"/>
      <c r="CB312" s="31"/>
      <c r="CC312" s="31"/>
      <c r="CD312" s="31"/>
      <c r="CE312" s="31"/>
      <c r="CF312" s="31"/>
      <c r="CG312" s="31"/>
      <c r="CH312" s="31"/>
      <c r="CI312" s="31"/>
      <c r="CJ312" s="31"/>
      <c r="CK312" s="31"/>
      <c r="CL312" s="31"/>
      <c r="CM312" s="31"/>
      <c r="CN312" s="31"/>
      <c r="CO312" s="31"/>
      <c r="CP312" s="31"/>
      <c r="CQ312" s="31"/>
      <c r="CR312" s="31"/>
      <c r="CS312" s="31"/>
      <c r="CT312" s="31"/>
      <c r="CU312" s="31"/>
      <c r="CV312" s="31"/>
      <c r="CW312" s="31"/>
      <c r="CX312" s="31"/>
      <c r="CY312" s="31"/>
      <c r="CZ312" s="31"/>
      <c r="DA312" s="31"/>
      <c r="DB312" s="31"/>
      <c r="DC312" s="31"/>
      <c r="DD312" s="31"/>
      <c r="DE312" s="31"/>
      <c r="DF312" s="31"/>
      <c r="DG312" s="31"/>
      <c r="DH312" s="31"/>
      <c r="DI312" s="31"/>
    </row>
    <row r="313" spans="1:113" s="22" customFormat="1" ht="23.25" customHeight="1" x14ac:dyDescent="0.2">
      <c r="A313" s="468" t="s">
        <v>48</v>
      </c>
      <c r="B313" s="467" t="s">
        <v>175</v>
      </c>
      <c r="C313" s="384" t="s">
        <v>148</v>
      </c>
      <c r="D313" s="64" t="s">
        <v>149</v>
      </c>
      <c r="E313" s="389">
        <f>983.21*1.055*1.05</f>
        <v>1089.1500000000001</v>
      </c>
      <c r="F313" s="14">
        <f t="shared" si="14"/>
        <v>217.83</v>
      </c>
      <c r="G313" s="389">
        <f t="shared" si="15"/>
        <v>1306.98</v>
      </c>
      <c r="H313" s="31"/>
      <c r="I313" s="305"/>
      <c r="J313" s="305"/>
      <c r="K313" s="326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66">
        <f>(716.21*1.04)*1.2</f>
        <v>893.83</v>
      </c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31"/>
      <c r="BH313" s="31"/>
      <c r="BI313" s="66">
        <f>893.83*1.1</f>
        <v>983.21</v>
      </c>
      <c r="BJ313" s="339">
        <f t="shared" si="16"/>
        <v>-105.94</v>
      </c>
      <c r="BK313" s="31"/>
      <c r="BL313" s="31"/>
      <c r="BM313" s="31"/>
      <c r="BN313" s="31"/>
      <c r="BO313" s="31"/>
      <c r="BP313" s="31"/>
      <c r="BQ313" s="31"/>
      <c r="BR313" s="31"/>
      <c r="BS313" s="31"/>
      <c r="BT313" s="31"/>
      <c r="BU313" s="31"/>
      <c r="BV313" s="31"/>
      <c r="BW313" s="31"/>
      <c r="BX313" s="31"/>
      <c r="BY313" s="31"/>
      <c r="BZ313" s="31"/>
      <c r="CA313" s="31"/>
      <c r="CB313" s="31"/>
      <c r="CC313" s="31"/>
      <c r="CD313" s="31"/>
      <c r="CE313" s="31"/>
      <c r="CF313" s="31"/>
      <c r="CG313" s="31"/>
      <c r="CH313" s="31"/>
      <c r="CI313" s="31"/>
      <c r="CJ313" s="31"/>
      <c r="CK313" s="31"/>
      <c r="CL313" s="31"/>
      <c r="CM313" s="31"/>
      <c r="CN313" s="31"/>
      <c r="CO313" s="31"/>
      <c r="CP313" s="31"/>
      <c r="CQ313" s="31"/>
      <c r="CR313" s="31"/>
      <c r="CS313" s="31"/>
      <c r="CT313" s="31"/>
      <c r="CU313" s="31"/>
      <c r="CV313" s="31"/>
      <c r="CW313" s="31"/>
      <c r="CX313" s="31"/>
      <c r="CY313" s="31"/>
      <c r="CZ313" s="31"/>
      <c r="DA313" s="31"/>
      <c r="DB313" s="31"/>
      <c r="DC313" s="31"/>
      <c r="DD313" s="31"/>
      <c r="DE313" s="31"/>
      <c r="DF313" s="31"/>
      <c r="DG313" s="31"/>
      <c r="DH313" s="31"/>
      <c r="DI313" s="31"/>
    </row>
    <row r="314" spans="1:113" s="22" customFormat="1" ht="23.25" customHeight="1" x14ac:dyDescent="0.2">
      <c r="A314" s="469"/>
      <c r="B314" s="467"/>
      <c r="C314" s="384" t="s">
        <v>154</v>
      </c>
      <c r="D314" s="64" t="s">
        <v>149</v>
      </c>
      <c r="E314" s="389">
        <f>1057.95*1.055*1.05</f>
        <v>1171.94</v>
      </c>
      <c r="F314" s="14">
        <f t="shared" si="14"/>
        <v>234.39</v>
      </c>
      <c r="G314" s="389">
        <f t="shared" si="15"/>
        <v>1406.33</v>
      </c>
      <c r="H314" s="31"/>
      <c r="I314" s="305"/>
      <c r="J314" s="305"/>
      <c r="K314" s="326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89">
        <f>(770.65*1.04)*1.2</f>
        <v>961.77</v>
      </c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31"/>
      <c r="BH314" s="31"/>
      <c r="BI314" s="389">
        <f>961.77*1.1</f>
        <v>1057.95</v>
      </c>
      <c r="BJ314" s="339">
        <f t="shared" si="16"/>
        <v>-113.99</v>
      </c>
      <c r="BK314" s="31"/>
      <c r="BL314" s="31"/>
      <c r="BM314" s="31"/>
      <c r="BN314" s="31"/>
      <c r="BO314" s="31"/>
      <c r="BP314" s="31"/>
      <c r="BQ314" s="31"/>
      <c r="BR314" s="31"/>
      <c r="BS314" s="31"/>
      <c r="BT314" s="31"/>
      <c r="BU314" s="31"/>
      <c r="BV314" s="31"/>
      <c r="BW314" s="31"/>
      <c r="BX314" s="31"/>
      <c r="BY314" s="31"/>
      <c r="BZ314" s="31"/>
      <c r="CA314" s="31"/>
      <c r="CB314" s="31"/>
      <c r="CC314" s="31"/>
      <c r="CD314" s="31"/>
      <c r="CE314" s="31"/>
      <c r="CF314" s="31"/>
      <c r="CG314" s="31"/>
      <c r="CH314" s="31"/>
      <c r="CI314" s="31"/>
      <c r="CJ314" s="31"/>
      <c r="CK314" s="31"/>
      <c r="CL314" s="31"/>
      <c r="CM314" s="31"/>
      <c r="CN314" s="31"/>
      <c r="CO314" s="31"/>
      <c r="CP314" s="31"/>
      <c r="CQ314" s="31"/>
      <c r="CR314" s="31"/>
      <c r="CS314" s="31"/>
      <c r="CT314" s="31"/>
      <c r="CU314" s="31"/>
      <c r="CV314" s="31"/>
      <c r="CW314" s="31"/>
      <c r="CX314" s="31"/>
      <c r="CY314" s="31"/>
      <c r="CZ314" s="31"/>
      <c r="DA314" s="31"/>
      <c r="DB314" s="31"/>
      <c r="DC314" s="31"/>
      <c r="DD314" s="31"/>
      <c r="DE314" s="31"/>
      <c r="DF314" s="31"/>
      <c r="DG314" s="31"/>
      <c r="DH314" s="31"/>
      <c r="DI314" s="31"/>
    </row>
    <row r="315" spans="1:113" s="22" customFormat="1" ht="23.25" customHeight="1" x14ac:dyDescent="0.2">
      <c r="A315" s="469"/>
      <c r="B315" s="467"/>
      <c r="C315" s="384" t="s">
        <v>173</v>
      </c>
      <c r="D315" s="64" t="s">
        <v>149</v>
      </c>
      <c r="E315" s="389">
        <f>1120.49*1.055*1.05</f>
        <v>1241.22</v>
      </c>
      <c r="F315" s="14">
        <f t="shared" si="14"/>
        <v>248.24</v>
      </c>
      <c r="G315" s="389">
        <f t="shared" si="15"/>
        <v>1489.46</v>
      </c>
      <c r="H315" s="31"/>
      <c r="I315" s="305"/>
      <c r="J315" s="305"/>
      <c r="K315" s="326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89">
        <f>(816.21*1.04)*1.2</f>
        <v>1018.63</v>
      </c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31"/>
      <c r="BH315" s="31"/>
      <c r="BI315" s="389">
        <f>1018.63*1.1</f>
        <v>1120.49</v>
      </c>
      <c r="BJ315" s="339">
        <f t="shared" si="16"/>
        <v>-120.73</v>
      </c>
      <c r="BK315" s="31"/>
      <c r="BL315" s="31"/>
      <c r="BM315" s="31"/>
      <c r="BN315" s="31"/>
      <c r="BO315" s="31"/>
      <c r="BP315" s="31"/>
      <c r="BQ315" s="31"/>
      <c r="BR315" s="31"/>
      <c r="BS315" s="31"/>
      <c r="BT315" s="31"/>
      <c r="BU315" s="31"/>
      <c r="BV315" s="31"/>
      <c r="BW315" s="31"/>
      <c r="BX315" s="31"/>
      <c r="BY315" s="31"/>
      <c r="BZ315" s="31"/>
      <c r="CA315" s="31"/>
      <c r="CB315" s="31"/>
      <c r="CC315" s="31"/>
      <c r="CD315" s="31"/>
      <c r="CE315" s="31"/>
      <c r="CF315" s="31"/>
      <c r="CG315" s="31"/>
      <c r="CH315" s="31"/>
      <c r="CI315" s="31"/>
      <c r="CJ315" s="31"/>
      <c r="CK315" s="31"/>
      <c r="CL315" s="31"/>
      <c r="CM315" s="31"/>
      <c r="CN315" s="31"/>
      <c r="CO315" s="31"/>
      <c r="CP315" s="31"/>
      <c r="CQ315" s="31"/>
      <c r="CR315" s="31"/>
      <c r="CS315" s="31"/>
      <c r="CT315" s="31"/>
      <c r="CU315" s="31"/>
      <c r="CV315" s="31"/>
      <c r="CW315" s="31"/>
      <c r="CX315" s="31"/>
      <c r="CY315" s="31"/>
      <c r="CZ315" s="31"/>
      <c r="DA315" s="31"/>
      <c r="DB315" s="31"/>
      <c r="DC315" s="31"/>
      <c r="DD315" s="31"/>
      <c r="DE315" s="31"/>
      <c r="DF315" s="31"/>
      <c r="DG315" s="31"/>
      <c r="DH315" s="31"/>
      <c r="DI315" s="31"/>
    </row>
    <row r="316" spans="1:113" s="22" customFormat="1" ht="23.25" customHeight="1" thickBot="1" x14ac:dyDescent="0.25">
      <c r="A316" s="469"/>
      <c r="B316" s="467"/>
      <c r="C316" s="384" t="s">
        <v>174</v>
      </c>
      <c r="D316" s="64" t="s">
        <v>149</v>
      </c>
      <c r="E316" s="389">
        <f>1244.31*1.055*1.05</f>
        <v>1378.38</v>
      </c>
      <c r="F316" s="14">
        <f t="shared" si="14"/>
        <v>275.68</v>
      </c>
      <c r="G316" s="389">
        <f t="shared" si="15"/>
        <v>1654.06</v>
      </c>
      <c r="H316" s="31"/>
      <c r="I316" s="305"/>
      <c r="J316" s="305"/>
      <c r="K316" s="326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68">
        <f>(906.4*1.04)*1.2</f>
        <v>1131.19</v>
      </c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31"/>
      <c r="BH316" s="31"/>
      <c r="BI316" s="68">
        <f>1131.19*1.1</f>
        <v>1244.31</v>
      </c>
      <c r="BJ316" s="339">
        <f t="shared" si="16"/>
        <v>-134.07</v>
      </c>
      <c r="BK316" s="31"/>
      <c r="BL316" s="31"/>
      <c r="BM316" s="31"/>
      <c r="BN316" s="31"/>
      <c r="BO316" s="31"/>
      <c r="BP316" s="31"/>
      <c r="BQ316" s="31"/>
      <c r="BR316" s="31"/>
      <c r="BS316" s="31"/>
      <c r="BT316" s="31"/>
      <c r="BU316" s="31"/>
      <c r="BV316" s="31"/>
      <c r="BW316" s="31"/>
      <c r="BX316" s="31"/>
      <c r="BY316" s="31"/>
      <c r="BZ316" s="31"/>
      <c r="CA316" s="31"/>
      <c r="CB316" s="31"/>
      <c r="CC316" s="31"/>
      <c r="CD316" s="31"/>
      <c r="CE316" s="31"/>
      <c r="CF316" s="31"/>
      <c r="CG316" s="31"/>
      <c r="CH316" s="31"/>
      <c r="CI316" s="31"/>
      <c r="CJ316" s="31"/>
      <c r="CK316" s="31"/>
      <c r="CL316" s="31"/>
      <c r="CM316" s="31"/>
      <c r="CN316" s="31"/>
      <c r="CO316" s="31"/>
      <c r="CP316" s="31"/>
      <c r="CQ316" s="31"/>
      <c r="CR316" s="31"/>
      <c r="CS316" s="31"/>
      <c r="CT316" s="31"/>
      <c r="CU316" s="31"/>
      <c r="CV316" s="31"/>
      <c r="CW316" s="31"/>
      <c r="CX316" s="31"/>
      <c r="CY316" s="31"/>
      <c r="CZ316" s="31"/>
      <c r="DA316" s="31"/>
      <c r="DB316" s="31"/>
      <c r="DC316" s="31"/>
      <c r="DD316" s="31"/>
      <c r="DE316" s="31"/>
      <c r="DF316" s="31"/>
      <c r="DG316" s="31"/>
      <c r="DH316" s="31"/>
      <c r="DI316" s="31"/>
    </row>
    <row r="317" spans="1:113" s="22" customFormat="1" ht="18.75" customHeight="1" x14ac:dyDescent="0.2">
      <c r="A317" s="466" t="s">
        <v>50</v>
      </c>
      <c r="B317" s="467" t="s">
        <v>176</v>
      </c>
      <c r="C317" s="73" t="s">
        <v>148</v>
      </c>
      <c r="D317" s="64" t="s">
        <v>149</v>
      </c>
      <c r="E317" s="389">
        <f>711.6*1.055*1.05</f>
        <v>788.27</v>
      </c>
      <c r="F317" s="14">
        <f t="shared" si="14"/>
        <v>157.65</v>
      </c>
      <c r="G317" s="389">
        <f t="shared" si="15"/>
        <v>945.92</v>
      </c>
      <c r="H317" s="31"/>
      <c r="I317" s="305"/>
      <c r="J317" s="305"/>
      <c r="K317" s="326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66">
        <f>(518.36*1.04)*1.2</f>
        <v>646.91</v>
      </c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31"/>
      <c r="BH317" s="31"/>
      <c r="BI317" s="66">
        <f>646.91*1.1</f>
        <v>711.6</v>
      </c>
      <c r="BJ317" s="339">
        <f t="shared" si="16"/>
        <v>-76.67</v>
      </c>
      <c r="BK317" s="31"/>
      <c r="BL317" s="31"/>
      <c r="BM317" s="31"/>
      <c r="BN317" s="31"/>
      <c r="BO317" s="31"/>
      <c r="BP317" s="31"/>
      <c r="BQ317" s="31"/>
      <c r="BR317" s="31"/>
      <c r="BS317" s="31"/>
      <c r="BT317" s="31"/>
      <c r="BU317" s="31"/>
      <c r="BV317" s="31"/>
      <c r="BW317" s="31"/>
      <c r="BX317" s="31"/>
      <c r="BY317" s="31"/>
      <c r="BZ317" s="31"/>
      <c r="CA317" s="31"/>
      <c r="CB317" s="31"/>
      <c r="CC317" s="31"/>
      <c r="CD317" s="31"/>
      <c r="CE317" s="31"/>
      <c r="CF317" s="31"/>
      <c r="CG317" s="31"/>
      <c r="CH317" s="31"/>
      <c r="CI317" s="31"/>
      <c r="CJ317" s="31"/>
      <c r="CK317" s="31"/>
      <c r="CL317" s="31"/>
      <c r="CM317" s="31"/>
      <c r="CN317" s="31"/>
      <c r="CO317" s="31"/>
      <c r="CP317" s="31"/>
      <c r="CQ317" s="31"/>
      <c r="CR317" s="31"/>
      <c r="CS317" s="31"/>
      <c r="CT317" s="31"/>
      <c r="CU317" s="31"/>
      <c r="CV317" s="31"/>
      <c r="CW317" s="31"/>
      <c r="CX317" s="31"/>
      <c r="CY317" s="31"/>
      <c r="CZ317" s="31"/>
      <c r="DA317" s="31"/>
      <c r="DB317" s="31"/>
      <c r="DC317" s="31"/>
      <c r="DD317" s="31"/>
      <c r="DE317" s="31"/>
      <c r="DF317" s="31"/>
      <c r="DG317" s="31"/>
      <c r="DH317" s="31"/>
      <c r="DI317" s="31"/>
    </row>
    <row r="318" spans="1:113" s="22" customFormat="1" ht="19.5" customHeight="1" x14ac:dyDescent="0.2">
      <c r="A318" s="466"/>
      <c r="B318" s="467"/>
      <c r="C318" s="73" t="s">
        <v>177</v>
      </c>
      <c r="D318" s="64" t="s">
        <v>149</v>
      </c>
      <c r="E318" s="389">
        <f>763.85*1.055*1.05</f>
        <v>846.15</v>
      </c>
      <c r="F318" s="14">
        <f t="shared" si="14"/>
        <v>169.23</v>
      </c>
      <c r="G318" s="389">
        <f t="shared" si="15"/>
        <v>1015.38</v>
      </c>
      <c r="H318" s="31"/>
      <c r="I318" s="305"/>
      <c r="J318" s="305"/>
      <c r="K318" s="326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89">
        <f>(556.42*1.04)*1.2</f>
        <v>694.41</v>
      </c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31"/>
      <c r="AV318" s="3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31"/>
      <c r="BH318" s="31"/>
      <c r="BI318" s="389">
        <f>694.41*1.1</f>
        <v>763.85</v>
      </c>
      <c r="BJ318" s="339">
        <f t="shared" si="16"/>
        <v>-82.3</v>
      </c>
      <c r="BK318" s="31"/>
      <c r="BL318" s="31"/>
      <c r="BM318" s="31"/>
      <c r="BN318" s="31"/>
      <c r="BO318" s="31"/>
      <c r="BP318" s="31"/>
      <c r="BQ318" s="31"/>
      <c r="BR318" s="31"/>
      <c r="BS318" s="31"/>
      <c r="BT318" s="31"/>
      <c r="BU318" s="31"/>
      <c r="BV318" s="31"/>
      <c r="BW318" s="31"/>
      <c r="BX318" s="31"/>
      <c r="BY318" s="31"/>
      <c r="BZ318" s="31"/>
      <c r="CA318" s="31"/>
      <c r="CB318" s="31"/>
      <c r="CC318" s="31"/>
      <c r="CD318" s="31"/>
      <c r="CE318" s="31"/>
      <c r="CF318" s="31"/>
      <c r="CG318" s="31"/>
      <c r="CH318" s="31"/>
      <c r="CI318" s="31"/>
      <c r="CJ318" s="31"/>
      <c r="CK318" s="31"/>
      <c r="CL318" s="31"/>
      <c r="CM318" s="31"/>
      <c r="CN318" s="31"/>
      <c r="CO318" s="31"/>
      <c r="CP318" s="31"/>
      <c r="CQ318" s="31"/>
      <c r="CR318" s="31"/>
      <c r="CS318" s="31"/>
      <c r="CT318" s="31"/>
      <c r="CU318" s="31"/>
      <c r="CV318" s="31"/>
      <c r="CW318" s="31"/>
      <c r="CX318" s="31"/>
      <c r="CY318" s="31"/>
      <c r="CZ318" s="31"/>
      <c r="DA318" s="31"/>
      <c r="DB318" s="31"/>
      <c r="DC318" s="31"/>
      <c r="DD318" s="31"/>
      <c r="DE318" s="31"/>
      <c r="DF318" s="31"/>
      <c r="DG318" s="31"/>
      <c r="DH318" s="31"/>
      <c r="DI318" s="31"/>
    </row>
    <row r="319" spans="1:113" s="22" customFormat="1" ht="18.75" customHeight="1" x14ac:dyDescent="0.2">
      <c r="A319" s="466"/>
      <c r="B319" s="467"/>
      <c r="C319" s="73" t="s">
        <v>178</v>
      </c>
      <c r="D319" s="64" t="s">
        <v>149</v>
      </c>
      <c r="E319" s="389">
        <f>783.43*1.055*1.05</f>
        <v>867.84</v>
      </c>
      <c r="F319" s="14">
        <f t="shared" si="14"/>
        <v>173.57</v>
      </c>
      <c r="G319" s="389">
        <f t="shared" si="15"/>
        <v>1041.4100000000001</v>
      </c>
      <c r="H319" s="31"/>
      <c r="I319" s="305"/>
      <c r="J319" s="305"/>
      <c r="K319" s="326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89">
        <f>(570.68*1.04)*1.2</f>
        <v>712.21</v>
      </c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31"/>
      <c r="BH319" s="31"/>
      <c r="BI319" s="389">
        <f>712.21*1.1</f>
        <v>783.43</v>
      </c>
      <c r="BJ319" s="339">
        <f t="shared" si="16"/>
        <v>-84.41</v>
      </c>
      <c r="BK319" s="31"/>
      <c r="BL319" s="31"/>
      <c r="BM319" s="31"/>
      <c r="BN319" s="31"/>
      <c r="BO319" s="31"/>
      <c r="BP319" s="31"/>
      <c r="BQ319" s="31"/>
      <c r="BR319" s="31"/>
      <c r="BS319" s="31"/>
      <c r="BT319" s="31"/>
      <c r="BU319" s="31"/>
      <c r="BV319" s="31"/>
      <c r="BW319" s="31"/>
      <c r="BX319" s="31"/>
      <c r="BY319" s="31"/>
      <c r="BZ319" s="31"/>
      <c r="CA319" s="31"/>
      <c r="CB319" s="31"/>
      <c r="CC319" s="31"/>
      <c r="CD319" s="31"/>
      <c r="CE319" s="31"/>
      <c r="CF319" s="31"/>
      <c r="CG319" s="31"/>
      <c r="CH319" s="31"/>
      <c r="CI319" s="31"/>
      <c r="CJ319" s="31"/>
      <c r="CK319" s="31"/>
      <c r="CL319" s="31"/>
      <c r="CM319" s="31"/>
      <c r="CN319" s="31"/>
      <c r="CO319" s="31"/>
      <c r="CP319" s="31"/>
      <c r="CQ319" s="31"/>
      <c r="CR319" s="31"/>
      <c r="CS319" s="31"/>
      <c r="CT319" s="31"/>
      <c r="CU319" s="31"/>
      <c r="CV319" s="31"/>
      <c r="CW319" s="31"/>
      <c r="CX319" s="31"/>
      <c r="CY319" s="31"/>
      <c r="CZ319" s="31"/>
      <c r="DA319" s="31"/>
      <c r="DB319" s="31"/>
      <c r="DC319" s="31"/>
      <c r="DD319" s="31"/>
      <c r="DE319" s="31"/>
      <c r="DF319" s="31"/>
      <c r="DG319" s="31"/>
      <c r="DH319" s="31"/>
      <c r="DI319" s="31"/>
    </row>
    <row r="320" spans="1:113" s="22" customFormat="1" ht="18.75" customHeight="1" thickBot="1" x14ac:dyDescent="0.25">
      <c r="A320" s="466"/>
      <c r="B320" s="467"/>
      <c r="C320" s="73" t="s">
        <v>179</v>
      </c>
      <c r="D320" s="64" t="s">
        <v>149</v>
      </c>
      <c r="E320" s="389">
        <f>842.2*1.055*1.05</f>
        <v>932.95</v>
      </c>
      <c r="F320" s="14">
        <f t="shared" si="14"/>
        <v>186.59</v>
      </c>
      <c r="G320" s="389">
        <f t="shared" si="15"/>
        <v>1119.54</v>
      </c>
      <c r="H320" s="31"/>
      <c r="I320" s="305"/>
      <c r="J320" s="305"/>
      <c r="K320" s="326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68">
        <f>(613.49*1.04)*1.2</f>
        <v>765.64</v>
      </c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31"/>
      <c r="BH320" s="31"/>
      <c r="BI320" s="68">
        <f>765.64*1.1</f>
        <v>842.2</v>
      </c>
      <c r="BJ320" s="339">
        <f t="shared" si="16"/>
        <v>-90.75</v>
      </c>
      <c r="BK320" s="31"/>
      <c r="BL320" s="31"/>
      <c r="BM320" s="31"/>
      <c r="BN320" s="31"/>
      <c r="BO320" s="31"/>
      <c r="BP320" s="31"/>
      <c r="BQ320" s="31"/>
      <c r="BR320" s="31"/>
      <c r="BS320" s="31"/>
      <c r="BT320" s="31"/>
      <c r="BU320" s="31"/>
      <c r="BV320" s="31"/>
      <c r="BW320" s="31"/>
      <c r="BX320" s="31"/>
      <c r="BY320" s="31"/>
      <c r="BZ320" s="31"/>
      <c r="CA320" s="31"/>
      <c r="CB320" s="31"/>
      <c r="CC320" s="31"/>
      <c r="CD320" s="31"/>
      <c r="CE320" s="31"/>
      <c r="CF320" s="31"/>
      <c r="CG320" s="31"/>
      <c r="CH320" s="31"/>
      <c r="CI320" s="31"/>
      <c r="CJ320" s="31"/>
      <c r="CK320" s="31"/>
      <c r="CL320" s="31"/>
      <c r="CM320" s="31"/>
      <c r="CN320" s="31"/>
      <c r="CO320" s="31"/>
      <c r="CP320" s="31"/>
      <c r="CQ320" s="31"/>
      <c r="CR320" s="31"/>
      <c r="CS320" s="31"/>
      <c r="CT320" s="31"/>
      <c r="CU320" s="31"/>
      <c r="CV320" s="31"/>
      <c r="CW320" s="31"/>
      <c r="CX320" s="31"/>
      <c r="CY320" s="31"/>
      <c r="CZ320" s="31"/>
      <c r="DA320" s="31"/>
      <c r="DB320" s="31"/>
      <c r="DC320" s="31"/>
      <c r="DD320" s="31"/>
      <c r="DE320" s="31"/>
      <c r="DF320" s="31"/>
      <c r="DG320" s="31"/>
      <c r="DH320" s="31"/>
      <c r="DI320" s="31"/>
    </row>
    <row r="321" spans="1:137" s="22" customFormat="1" ht="18.75" customHeight="1" x14ac:dyDescent="0.2">
      <c r="A321" s="466" t="s">
        <v>52</v>
      </c>
      <c r="B321" s="467" t="s">
        <v>180</v>
      </c>
      <c r="C321" s="73" t="s">
        <v>148</v>
      </c>
      <c r="D321" s="64" t="s">
        <v>149</v>
      </c>
      <c r="E321" s="389">
        <f>853.92*1.055*1.05</f>
        <v>945.93</v>
      </c>
      <c r="F321" s="14">
        <f t="shared" si="14"/>
        <v>189.19</v>
      </c>
      <c r="G321" s="389">
        <f t="shared" si="15"/>
        <v>1135.1199999999999</v>
      </c>
      <c r="H321" s="31"/>
      <c r="I321" s="305"/>
      <c r="J321" s="305"/>
      <c r="K321" s="326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66">
        <f>(622.03*1.04)*1.2</f>
        <v>776.29</v>
      </c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31"/>
      <c r="BH321" s="31"/>
      <c r="BI321" s="72">
        <f>776.29*1.1</f>
        <v>853.92</v>
      </c>
      <c r="BJ321" s="339">
        <f t="shared" si="16"/>
        <v>-92.01</v>
      </c>
      <c r="BK321" s="31"/>
      <c r="BL321" s="31"/>
      <c r="BM321" s="31"/>
      <c r="BN321" s="31"/>
      <c r="BO321" s="31"/>
      <c r="BP321" s="31"/>
      <c r="BQ321" s="31"/>
      <c r="BR321" s="31"/>
      <c r="BS321" s="31"/>
      <c r="BT321" s="31"/>
      <c r="BU321" s="31"/>
      <c r="BV321" s="31"/>
      <c r="BW321" s="31"/>
      <c r="BX321" s="31"/>
      <c r="BY321" s="31"/>
      <c r="BZ321" s="31"/>
      <c r="CA321" s="31"/>
      <c r="CB321" s="31"/>
      <c r="CC321" s="31"/>
      <c r="CD321" s="31"/>
      <c r="CE321" s="31"/>
      <c r="CF321" s="31"/>
      <c r="CG321" s="31"/>
      <c r="CH321" s="31"/>
      <c r="CI321" s="31"/>
      <c r="CJ321" s="31"/>
      <c r="CK321" s="31"/>
      <c r="CL321" s="31"/>
      <c r="CM321" s="31"/>
      <c r="CN321" s="31"/>
      <c r="CO321" s="31"/>
      <c r="CP321" s="31"/>
      <c r="CQ321" s="31"/>
      <c r="CR321" s="31"/>
      <c r="CS321" s="31"/>
      <c r="CT321" s="31"/>
      <c r="CU321" s="31"/>
      <c r="CV321" s="31"/>
      <c r="CW321" s="31"/>
      <c r="CX321" s="31"/>
      <c r="CY321" s="31"/>
      <c r="CZ321" s="31"/>
      <c r="DA321" s="31"/>
      <c r="DB321" s="31"/>
      <c r="DC321" s="31"/>
      <c r="DD321" s="31"/>
      <c r="DE321" s="31"/>
      <c r="DF321" s="31"/>
      <c r="DG321" s="31"/>
      <c r="DH321" s="31"/>
      <c r="DI321" s="31"/>
    </row>
    <row r="322" spans="1:137" s="22" customFormat="1" ht="18.75" customHeight="1" x14ac:dyDescent="0.2">
      <c r="A322" s="466"/>
      <c r="B322" s="467"/>
      <c r="C322" s="73" t="s">
        <v>177</v>
      </c>
      <c r="D322" s="64" t="s">
        <v>149</v>
      </c>
      <c r="E322" s="389">
        <f>916.62*1.055*1.05</f>
        <v>1015.39</v>
      </c>
      <c r="F322" s="14">
        <f t="shared" si="14"/>
        <v>203.08</v>
      </c>
      <c r="G322" s="389">
        <f t="shared" si="15"/>
        <v>1218.47</v>
      </c>
      <c r="H322" s="31"/>
      <c r="I322" s="305"/>
      <c r="J322" s="305"/>
      <c r="K322" s="326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89">
        <f>(667.7*1.04)*1.2</f>
        <v>833.29</v>
      </c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31"/>
      <c r="BH322" s="31"/>
      <c r="BI322" s="389">
        <f>833.29*1.1</f>
        <v>916.62</v>
      </c>
      <c r="BJ322" s="339">
        <f t="shared" si="16"/>
        <v>-98.77</v>
      </c>
      <c r="BK322" s="31"/>
      <c r="BL322" s="31"/>
      <c r="BM322" s="31"/>
      <c r="BN322" s="31"/>
      <c r="BO322" s="31"/>
      <c r="BP322" s="31"/>
      <c r="BQ322" s="31"/>
      <c r="BR322" s="31"/>
      <c r="BS322" s="31"/>
      <c r="BT322" s="31"/>
      <c r="BU322" s="31"/>
      <c r="BV322" s="31"/>
      <c r="BW322" s="31"/>
      <c r="BX322" s="31"/>
      <c r="BY322" s="31"/>
      <c r="BZ322" s="31"/>
      <c r="CA322" s="31"/>
      <c r="CB322" s="31"/>
      <c r="CC322" s="31"/>
      <c r="CD322" s="31"/>
      <c r="CE322" s="31"/>
      <c r="CF322" s="31"/>
      <c r="CG322" s="31"/>
      <c r="CH322" s="31"/>
      <c r="CI322" s="31"/>
      <c r="CJ322" s="31"/>
      <c r="CK322" s="31"/>
      <c r="CL322" s="31"/>
      <c r="CM322" s="31"/>
      <c r="CN322" s="31"/>
      <c r="CO322" s="31"/>
      <c r="CP322" s="31"/>
      <c r="CQ322" s="31"/>
      <c r="CR322" s="31"/>
      <c r="CS322" s="31"/>
      <c r="CT322" s="31"/>
      <c r="CU322" s="31"/>
      <c r="CV322" s="31"/>
      <c r="CW322" s="31"/>
      <c r="CX322" s="31"/>
      <c r="CY322" s="31"/>
      <c r="CZ322" s="31"/>
      <c r="DA322" s="31"/>
      <c r="DB322" s="31"/>
      <c r="DC322" s="31"/>
      <c r="DD322" s="31"/>
      <c r="DE322" s="31"/>
      <c r="DF322" s="31"/>
      <c r="DG322" s="31"/>
      <c r="DH322" s="31"/>
      <c r="DI322" s="31"/>
    </row>
    <row r="323" spans="1:137" s="22" customFormat="1" ht="18.75" customHeight="1" x14ac:dyDescent="0.2">
      <c r="A323" s="466"/>
      <c r="B323" s="467"/>
      <c r="C323" s="73" t="s">
        <v>178</v>
      </c>
      <c r="D323" s="64" t="s">
        <v>149</v>
      </c>
      <c r="E323" s="389">
        <f>940.13*1.055*1.05</f>
        <v>1041.43</v>
      </c>
      <c r="F323" s="14">
        <f t="shared" si="14"/>
        <v>208.29</v>
      </c>
      <c r="G323" s="389">
        <f t="shared" si="15"/>
        <v>1249.72</v>
      </c>
      <c r="H323" s="31"/>
      <c r="I323" s="305"/>
      <c r="J323" s="305"/>
      <c r="K323" s="326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89">
        <f>(684.82*1.04)*1.2</f>
        <v>854.66</v>
      </c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31"/>
      <c r="BH323" s="31"/>
      <c r="BI323" s="389">
        <f>854.66*1.1</f>
        <v>940.13</v>
      </c>
      <c r="BJ323" s="339">
        <f t="shared" si="16"/>
        <v>-101.3</v>
      </c>
      <c r="BK323" s="31"/>
      <c r="BL323" s="31"/>
      <c r="BM323" s="31"/>
      <c r="BN323" s="31"/>
      <c r="BO323" s="31"/>
      <c r="BP323" s="31"/>
      <c r="BQ323" s="31"/>
      <c r="BR323" s="31"/>
      <c r="BS323" s="31"/>
      <c r="BT323" s="31"/>
      <c r="BU323" s="31"/>
      <c r="BV323" s="31"/>
      <c r="BW323" s="31"/>
      <c r="BX323" s="31"/>
      <c r="BY323" s="31"/>
      <c r="BZ323" s="31"/>
      <c r="CA323" s="31"/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1"/>
      <c r="CW323" s="31"/>
      <c r="CX323" s="31"/>
      <c r="CY323" s="31"/>
      <c r="CZ323" s="31"/>
      <c r="DA323" s="31"/>
      <c r="DB323" s="31"/>
      <c r="DC323" s="31"/>
      <c r="DD323" s="31"/>
      <c r="DE323" s="31"/>
      <c r="DF323" s="31"/>
      <c r="DG323" s="31"/>
      <c r="DH323" s="31"/>
      <c r="DI323" s="31"/>
    </row>
    <row r="324" spans="1:137" s="22" customFormat="1" ht="18.75" customHeight="1" thickBot="1" x14ac:dyDescent="0.25">
      <c r="A324" s="466"/>
      <c r="B324" s="467"/>
      <c r="C324" s="73" t="s">
        <v>179</v>
      </c>
      <c r="D324" s="64" t="s">
        <v>149</v>
      </c>
      <c r="E324" s="389">
        <f>1010.65*1.055*1.05</f>
        <v>1119.55</v>
      </c>
      <c r="F324" s="14">
        <f t="shared" si="14"/>
        <v>223.91</v>
      </c>
      <c r="G324" s="389">
        <f t="shared" si="15"/>
        <v>1343.46</v>
      </c>
      <c r="H324" s="31"/>
      <c r="I324" s="305"/>
      <c r="J324" s="305"/>
      <c r="K324" s="326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68">
        <f>(736.19*1.04)*1.2</f>
        <v>918.77</v>
      </c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31"/>
      <c r="BH324" s="31"/>
      <c r="BI324" s="68">
        <f>918.77*1.1</f>
        <v>1010.65</v>
      </c>
      <c r="BJ324" s="339">
        <f t="shared" si="16"/>
        <v>-108.9</v>
      </c>
      <c r="BK324" s="31"/>
      <c r="BL324" s="31"/>
      <c r="BM324" s="31"/>
      <c r="BN324" s="31"/>
      <c r="BO324" s="31"/>
      <c r="BP324" s="31"/>
      <c r="BQ324" s="31"/>
      <c r="BR324" s="31"/>
      <c r="BS324" s="31"/>
      <c r="BT324" s="31"/>
      <c r="BU324" s="31"/>
      <c r="BV324" s="31"/>
      <c r="BW324" s="31"/>
      <c r="BX324" s="31"/>
      <c r="BY324" s="31"/>
      <c r="BZ324" s="31"/>
      <c r="CA324" s="31"/>
      <c r="CB324" s="31"/>
      <c r="CC324" s="31"/>
      <c r="CD324" s="31"/>
      <c r="CE324" s="31"/>
      <c r="CF324" s="31"/>
      <c r="CG324" s="31"/>
      <c r="CH324" s="31"/>
      <c r="CI324" s="31"/>
      <c r="CJ324" s="31"/>
      <c r="CK324" s="31"/>
      <c r="CL324" s="31"/>
      <c r="CM324" s="31"/>
      <c r="CN324" s="31"/>
      <c r="CO324" s="31"/>
      <c r="CP324" s="31"/>
      <c r="CQ324" s="31"/>
      <c r="CR324" s="31"/>
      <c r="CS324" s="31"/>
      <c r="CT324" s="31"/>
      <c r="CU324" s="31"/>
      <c r="CV324" s="31"/>
      <c r="CW324" s="31"/>
      <c r="CX324" s="31"/>
      <c r="CY324" s="31"/>
      <c r="CZ324" s="31"/>
      <c r="DA324" s="31"/>
      <c r="DB324" s="31"/>
      <c r="DC324" s="31"/>
      <c r="DD324" s="31"/>
      <c r="DE324" s="31"/>
      <c r="DF324" s="31"/>
      <c r="DG324" s="31"/>
      <c r="DH324" s="31"/>
      <c r="DI324" s="31"/>
    </row>
    <row r="325" spans="1:137" s="22" customFormat="1" ht="18.75" customHeight="1" thickBot="1" x14ac:dyDescent="0.25">
      <c r="A325" s="387" t="s">
        <v>54</v>
      </c>
      <c r="B325" s="74" t="s">
        <v>181</v>
      </c>
      <c r="C325" s="73"/>
      <c r="D325" s="64" t="s">
        <v>149</v>
      </c>
      <c r="E325" s="389">
        <f>643.84*1.055*1.05</f>
        <v>713.21</v>
      </c>
      <c r="F325" s="14">
        <f t="shared" si="14"/>
        <v>142.63999999999999</v>
      </c>
      <c r="G325" s="389">
        <f t="shared" si="15"/>
        <v>855.85</v>
      </c>
      <c r="H325" s="31"/>
      <c r="I325" s="305"/>
      <c r="J325" s="305"/>
      <c r="K325" s="326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75">
        <f>(469*1.04)*1.2</f>
        <v>585.30999999999995</v>
      </c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31"/>
      <c r="BH325" s="31"/>
      <c r="BI325" s="75">
        <f>585.31*1.1</f>
        <v>643.84</v>
      </c>
      <c r="BJ325" s="339">
        <f t="shared" si="16"/>
        <v>-69.37</v>
      </c>
      <c r="BK325" s="31"/>
      <c r="BL325" s="31"/>
      <c r="BM325" s="31"/>
      <c r="BN325" s="31"/>
      <c r="BO325" s="31"/>
      <c r="BP325" s="31"/>
      <c r="BQ325" s="31"/>
      <c r="BR325" s="31"/>
      <c r="BS325" s="31"/>
      <c r="BT325" s="31"/>
      <c r="BU325" s="31"/>
      <c r="BV325" s="31"/>
      <c r="BW325" s="31"/>
      <c r="BX325" s="31"/>
      <c r="BY325" s="31"/>
      <c r="BZ325" s="31"/>
      <c r="CA325" s="31"/>
      <c r="CB325" s="31"/>
      <c r="CC325" s="31"/>
      <c r="CD325" s="31"/>
      <c r="CE325" s="31"/>
      <c r="CF325" s="31"/>
      <c r="CG325" s="31"/>
      <c r="CH325" s="31"/>
      <c r="CI325" s="31"/>
      <c r="CJ325" s="31"/>
      <c r="CK325" s="31"/>
      <c r="CL325" s="31"/>
      <c r="CM325" s="31"/>
      <c r="CN325" s="31"/>
      <c r="CO325" s="31"/>
      <c r="CP325" s="31"/>
      <c r="CQ325" s="31"/>
      <c r="CR325" s="31"/>
      <c r="CS325" s="31"/>
      <c r="CT325" s="31"/>
      <c r="CU325" s="31"/>
      <c r="CV325" s="31"/>
      <c r="CW325" s="31"/>
      <c r="CX325" s="31"/>
      <c r="CY325" s="31"/>
      <c r="CZ325" s="31"/>
      <c r="DA325" s="31"/>
      <c r="DB325" s="31"/>
      <c r="DC325" s="31"/>
      <c r="DD325" s="31"/>
      <c r="DE325" s="31"/>
      <c r="DF325" s="31"/>
      <c r="DG325" s="31"/>
      <c r="DH325" s="31"/>
      <c r="DI325" s="31"/>
    </row>
    <row r="326" spans="1:137" s="22" customFormat="1" ht="25.5" x14ac:dyDescent="0.25">
      <c r="A326" s="468" t="s">
        <v>56</v>
      </c>
      <c r="B326" s="467" t="s">
        <v>182</v>
      </c>
      <c r="C326" s="384" t="s">
        <v>183</v>
      </c>
      <c r="D326" s="76" t="s">
        <v>184</v>
      </c>
      <c r="E326" s="389">
        <f>731.2*1.055*1.05</f>
        <v>809.99</v>
      </c>
      <c r="F326" s="14">
        <f t="shared" si="14"/>
        <v>162</v>
      </c>
      <c r="G326" s="389">
        <f t="shared" si="15"/>
        <v>971.99</v>
      </c>
      <c r="H326" s="77"/>
      <c r="I326" s="305" t="e">
        <f>#REF!*18%</f>
        <v>#REF!</v>
      </c>
      <c r="J326" s="305" t="e">
        <f>#REF!*1.18</f>
        <v>#REF!</v>
      </c>
      <c r="K326" s="326">
        <v>1.0549999999999999</v>
      </c>
      <c r="L326" s="78"/>
      <c r="M326" s="79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72">
        <f>(532.64*1.04)*1.2</f>
        <v>664.73</v>
      </c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31"/>
      <c r="BH326" s="31"/>
      <c r="BI326" s="72">
        <f>664.73*1.1</f>
        <v>731.2</v>
      </c>
      <c r="BJ326" s="339">
        <f t="shared" si="16"/>
        <v>-78.790000000000006</v>
      </c>
      <c r="BK326" s="31"/>
      <c r="BL326" s="31"/>
      <c r="BM326" s="31"/>
      <c r="BN326" s="31"/>
      <c r="BO326" s="31"/>
      <c r="BP326" s="31"/>
      <c r="BQ326" s="31"/>
      <c r="BR326" s="31"/>
      <c r="BS326" s="31"/>
      <c r="BT326" s="31"/>
      <c r="BU326" s="31"/>
      <c r="BV326" s="31"/>
      <c r="BW326" s="31"/>
      <c r="BX326" s="31"/>
      <c r="BY326" s="31"/>
      <c r="BZ326" s="31"/>
      <c r="CA326" s="31"/>
      <c r="CB326" s="31"/>
      <c r="CC326" s="31"/>
      <c r="CD326" s="31"/>
      <c r="CE326" s="31"/>
      <c r="CF326" s="31"/>
      <c r="CG326" s="31"/>
      <c r="CH326" s="31"/>
      <c r="CI326" s="31"/>
      <c r="CJ326" s="31"/>
      <c r="CK326" s="31"/>
      <c r="CL326" s="31"/>
      <c r="CM326" s="31"/>
      <c r="CN326" s="31"/>
      <c r="CO326" s="31"/>
      <c r="CP326" s="31"/>
      <c r="CQ326" s="31"/>
      <c r="CR326" s="31"/>
      <c r="CS326" s="31"/>
      <c r="CT326" s="31"/>
      <c r="CU326" s="31"/>
      <c r="CV326" s="31"/>
      <c r="CW326" s="31"/>
      <c r="CX326" s="31"/>
      <c r="CY326" s="31"/>
      <c r="CZ326" s="31"/>
      <c r="DA326" s="31"/>
      <c r="DB326" s="31"/>
      <c r="DC326" s="31"/>
      <c r="DD326" s="31"/>
      <c r="DE326" s="31"/>
      <c r="DF326" s="31"/>
      <c r="DG326" s="31"/>
      <c r="DH326" s="31"/>
      <c r="DI326" s="31"/>
    </row>
    <row r="327" spans="1:137" s="22" customFormat="1" ht="25.5" x14ac:dyDescent="0.25">
      <c r="A327" s="468"/>
      <c r="B327" s="467"/>
      <c r="C327" s="384" t="s">
        <v>185</v>
      </c>
      <c r="D327" s="76" t="s">
        <v>186</v>
      </c>
      <c r="E327" s="389">
        <f>823.45*1.055*1.05</f>
        <v>912.18</v>
      </c>
      <c r="F327" s="14">
        <f t="shared" si="14"/>
        <v>182.44</v>
      </c>
      <c r="G327" s="389">
        <f t="shared" si="15"/>
        <v>1094.6199999999999</v>
      </c>
      <c r="H327" s="77"/>
      <c r="I327" s="305" t="e">
        <f>#REF!*18%</f>
        <v>#REF!</v>
      </c>
      <c r="J327" s="305" t="e">
        <f>#REF!*1.18</f>
        <v>#REF!</v>
      </c>
      <c r="K327" s="326">
        <v>1.0549999999999999</v>
      </c>
      <c r="L327" s="78"/>
      <c r="M327" s="79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89">
        <f>(599.83*1.04)*1.2</f>
        <v>748.59</v>
      </c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31"/>
      <c r="BH327" s="31"/>
      <c r="BI327" s="389">
        <f>748.59*1.1</f>
        <v>823.45</v>
      </c>
      <c r="BJ327" s="339">
        <f t="shared" si="16"/>
        <v>-88.73</v>
      </c>
      <c r="BK327" s="31"/>
      <c r="BL327" s="31"/>
      <c r="BM327" s="31"/>
      <c r="BN327" s="31"/>
      <c r="BO327" s="31"/>
      <c r="BP327" s="31"/>
      <c r="BQ327" s="31"/>
      <c r="BR327" s="31"/>
      <c r="BS327" s="31"/>
      <c r="BT327" s="31"/>
      <c r="BU327" s="31"/>
      <c r="BV327" s="31"/>
      <c r="BW327" s="31"/>
      <c r="BX327" s="31"/>
      <c r="BY327" s="31"/>
      <c r="BZ327" s="31"/>
      <c r="CA327" s="31"/>
      <c r="CB327" s="31"/>
      <c r="CC327" s="31"/>
      <c r="CD327" s="31"/>
      <c r="CE327" s="31"/>
      <c r="CF327" s="31"/>
      <c r="CG327" s="31"/>
      <c r="CH327" s="31"/>
      <c r="CI327" s="31"/>
      <c r="CJ327" s="31"/>
      <c r="CK327" s="31"/>
      <c r="CL327" s="31"/>
      <c r="CM327" s="31"/>
      <c r="CN327" s="31"/>
      <c r="CO327" s="31"/>
      <c r="CP327" s="31"/>
      <c r="CQ327" s="31"/>
      <c r="CR327" s="31"/>
      <c r="CS327" s="31"/>
      <c r="CT327" s="31"/>
      <c r="CU327" s="31"/>
      <c r="CV327" s="31"/>
      <c r="CW327" s="31"/>
      <c r="CX327" s="31"/>
      <c r="CY327" s="31"/>
      <c r="CZ327" s="31"/>
      <c r="DA327" s="31"/>
      <c r="DB327" s="31"/>
      <c r="DC327" s="31"/>
      <c r="DD327" s="31"/>
      <c r="DE327" s="31"/>
      <c r="DF327" s="31"/>
      <c r="DG327" s="31"/>
      <c r="DH327" s="31"/>
      <c r="DI327" s="31"/>
      <c r="EG327" s="80"/>
    </row>
    <row r="328" spans="1:137" s="22" customFormat="1" ht="25.5" x14ac:dyDescent="0.25">
      <c r="A328" s="468"/>
      <c r="B328" s="467"/>
      <c r="C328" s="384" t="s">
        <v>187</v>
      </c>
      <c r="D328" s="76" t="s">
        <v>188</v>
      </c>
      <c r="E328" s="389">
        <f>848.72*1.055*1.05</f>
        <v>940.17</v>
      </c>
      <c r="F328" s="14">
        <f t="shared" si="14"/>
        <v>188.03</v>
      </c>
      <c r="G328" s="389">
        <f t="shared" si="15"/>
        <v>1128.2</v>
      </c>
      <c r="H328" s="77"/>
      <c r="I328" s="305" t="e">
        <f>#REF!*18%</f>
        <v>#REF!</v>
      </c>
      <c r="J328" s="305" t="e">
        <f>#REF!*1.18</f>
        <v>#REF!</v>
      </c>
      <c r="K328" s="326">
        <v>1.0549999999999999</v>
      </c>
      <c r="L328" s="78"/>
      <c r="M328" s="79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89">
        <f>(618.24*1.04)*1.2</f>
        <v>771.56</v>
      </c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31"/>
      <c r="BH328" s="31"/>
      <c r="BI328" s="389">
        <f>771.56*1.1</f>
        <v>848.72</v>
      </c>
      <c r="BJ328" s="339">
        <f t="shared" si="16"/>
        <v>-91.45</v>
      </c>
      <c r="BK328" s="31"/>
      <c r="BL328" s="31"/>
      <c r="BM328" s="31"/>
      <c r="BN328" s="31"/>
      <c r="BO328" s="31"/>
      <c r="BP328" s="31"/>
      <c r="BQ328" s="31"/>
      <c r="BR328" s="31"/>
      <c r="BS328" s="31"/>
      <c r="BT328" s="31"/>
      <c r="BU328" s="31"/>
      <c r="BV328" s="31"/>
      <c r="BW328" s="31"/>
      <c r="BX328" s="31"/>
      <c r="BY328" s="31"/>
      <c r="BZ328" s="31"/>
      <c r="CA328" s="31"/>
      <c r="CB328" s="31"/>
      <c r="CC328" s="31"/>
      <c r="CD328" s="31"/>
      <c r="CE328" s="31"/>
      <c r="CF328" s="31"/>
      <c r="CG328" s="31"/>
      <c r="CH328" s="31"/>
      <c r="CI328" s="31"/>
      <c r="CJ328" s="31"/>
      <c r="CK328" s="31"/>
      <c r="CL328" s="31"/>
      <c r="CM328" s="31"/>
      <c r="CN328" s="31"/>
      <c r="CO328" s="31"/>
      <c r="CP328" s="31"/>
      <c r="CQ328" s="31"/>
      <c r="CR328" s="31"/>
      <c r="CS328" s="31"/>
      <c r="CT328" s="31"/>
      <c r="CU328" s="31"/>
      <c r="CV328" s="31"/>
      <c r="CW328" s="31"/>
      <c r="CX328" s="31"/>
      <c r="CY328" s="31"/>
      <c r="CZ328" s="31"/>
      <c r="DA328" s="31"/>
      <c r="DB328" s="31"/>
      <c r="DC328" s="31"/>
      <c r="DD328" s="31"/>
      <c r="DE328" s="31"/>
      <c r="DF328" s="31"/>
      <c r="DG328" s="31"/>
      <c r="DH328" s="31"/>
      <c r="DI328" s="31"/>
    </row>
    <row r="329" spans="1:137" s="22" customFormat="1" ht="39" thickBot="1" x14ac:dyDescent="0.3">
      <c r="A329" s="468"/>
      <c r="B329" s="467"/>
      <c r="C329" s="384" t="s">
        <v>189</v>
      </c>
      <c r="D329" s="76" t="s">
        <v>190</v>
      </c>
      <c r="E329" s="389">
        <f>917.5*1.055*1.05</f>
        <v>1016.36</v>
      </c>
      <c r="F329" s="14">
        <f t="shared" si="14"/>
        <v>203.27</v>
      </c>
      <c r="G329" s="389">
        <f t="shared" si="15"/>
        <v>1219.6300000000001</v>
      </c>
      <c r="H329" s="77"/>
      <c r="I329" s="305" t="e">
        <f>#REF!*18%</f>
        <v>#REF!</v>
      </c>
      <c r="J329" s="305" t="e">
        <f>#REF!*1.18</f>
        <v>#REF!</v>
      </c>
      <c r="K329" s="326">
        <v>1.0549999999999999</v>
      </c>
      <c r="L329" s="78"/>
      <c r="M329" s="79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69">
        <f>(668.34*1.04)*1.2</f>
        <v>834.09</v>
      </c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31"/>
      <c r="BH329" s="31"/>
      <c r="BI329" s="69">
        <f>834.09*1.1</f>
        <v>917.5</v>
      </c>
      <c r="BJ329" s="339">
        <f t="shared" si="16"/>
        <v>-98.86</v>
      </c>
      <c r="BK329" s="31"/>
      <c r="BL329" s="31"/>
      <c r="BM329" s="31"/>
      <c r="BN329" s="31"/>
      <c r="BO329" s="31"/>
      <c r="BP329" s="31"/>
      <c r="BQ329" s="31"/>
      <c r="BR329" s="31"/>
      <c r="BS329" s="31"/>
      <c r="BT329" s="31"/>
      <c r="BU329" s="31"/>
      <c r="BV329" s="31"/>
      <c r="BW329" s="31"/>
      <c r="BX329" s="31"/>
      <c r="BY329" s="31"/>
      <c r="BZ329" s="31"/>
      <c r="CA329" s="31"/>
      <c r="CB329" s="31"/>
      <c r="CC329" s="31"/>
      <c r="CD329" s="31"/>
      <c r="CE329" s="31"/>
      <c r="CF329" s="31"/>
      <c r="CG329" s="31"/>
      <c r="CH329" s="31"/>
      <c r="CI329" s="31"/>
      <c r="CJ329" s="31"/>
      <c r="CK329" s="31"/>
      <c r="CL329" s="31"/>
      <c r="CM329" s="31"/>
      <c r="CN329" s="31"/>
      <c r="CO329" s="31"/>
      <c r="CP329" s="31"/>
      <c r="CQ329" s="31"/>
      <c r="CR329" s="31"/>
      <c r="CS329" s="31"/>
      <c r="CT329" s="31"/>
      <c r="CU329" s="31"/>
      <c r="CV329" s="31"/>
      <c r="CW329" s="31"/>
      <c r="CX329" s="31"/>
      <c r="CY329" s="31"/>
      <c r="CZ329" s="31"/>
      <c r="DA329" s="31"/>
      <c r="DB329" s="31"/>
      <c r="DC329" s="31"/>
      <c r="DD329" s="31"/>
      <c r="DE329" s="31"/>
      <c r="DF329" s="31"/>
      <c r="DG329" s="31"/>
      <c r="DH329" s="31"/>
      <c r="DI329" s="31"/>
    </row>
    <row r="330" spans="1:137" s="15" customFormat="1" ht="36.75" customHeight="1" thickBot="1" x14ac:dyDescent="0.25">
      <c r="A330" s="463" t="s">
        <v>191</v>
      </c>
      <c r="B330" s="463"/>
      <c r="C330" s="73" t="s">
        <v>192</v>
      </c>
      <c r="D330" s="81" t="s">
        <v>149</v>
      </c>
      <c r="E330" s="389">
        <f>221.05*1.055*1.05</f>
        <v>244.87</v>
      </c>
      <c r="F330" s="14">
        <f t="shared" si="14"/>
        <v>48.97</v>
      </c>
      <c r="G330" s="389">
        <f t="shared" si="15"/>
        <v>293.83999999999997</v>
      </c>
      <c r="H330" s="2"/>
      <c r="I330" s="305" t="e">
        <f>#REF!*18%</f>
        <v>#REF!</v>
      </c>
      <c r="J330" s="305" t="e">
        <f>#REF!*1.18</f>
        <v>#REF!</v>
      </c>
      <c r="K330" s="326">
        <v>1.0549999999999999</v>
      </c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75">
        <f>(161.02*1.04)*1.2</f>
        <v>200.95</v>
      </c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75">
        <f>200.95*1.1</f>
        <v>221.05</v>
      </c>
      <c r="BJ330" s="339">
        <f t="shared" si="16"/>
        <v>-23.82</v>
      </c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</row>
    <row r="331" spans="1:137" s="15" customFormat="1" ht="23.25" customHeight="1" x14ac:dyDescent="0.2">
      <c r="A331" s="82"/>
      <c r="B331" s="44"/>
      <c r="C331" s="83"/>
      <c r="D331" s="84"/>
      <c r="E331" s="412"/>
      <c r="F331" s="47"/>
      <c r="G331" s="47"/>
      <c r="H331" s="2"/>
      <c r="I331" s="305"/>
      <c r="J331" s="305"/>
      <c r="K331" s="326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</row>
    <row r="332" spans="1:137" s="15" customFormat="1" ht="18" customHeight="1" x14ac:dyDescent="0.2">
      <c r="A332" s="424" t="s">
        <v>2031</v>
      </c>
      <c r="B332" s="424"/>
      <c r="C332" s="424"/>
      <c r="D332" s="424"/>
      <c r="E332" s="424"/>
      <c r="F332" s="424"/>
      <c r="G332" s="424"/>
      <c r="H332" s="2"/>
      <c r="I332" s="34"/>
      <c r="J332" s="2"/>
      <c r="K332" s="326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89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89"/>
      <c r="BJ332" s="305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</row>
    <row r="333" spans="1:137" s="15" customFormat="1" ht="7.5" customHeight="1" x14ac:dyDescent="0.2">
      <c r="A333" s="90"/>
      <c r="B333" s="90"/>
      <c r="C333" s="90"/>
      <c r="D333" s="90"/>
      <c r="E333" s="90"/>
      <c r="F333" s="90"/>
      <c r="G333" s="90"/>
      <c r="H333" s="2"/>
      <c r="I333" s="34"/>
      <c r="J333" s="2"/>
      <c r="K333" s="326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89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89"/>
      <c r="BJ333" s="305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</row>
    <row r="334" spans="1:137" s="15" customFormat="1" ht="72.75" customHeight="1" x14ac:dyDescent="0.2">
      <c r="A334" s="396" t="s">
        <v>6</v>
      </c>
      <c r="B334" s="386" t="s">
        <v>7</v>
      </c>
      <c r="C334" s="386" t="s">
        <v>8</v>
      </c>
      <c r="D334" s="386" t="s">
        <v>9</v>
      </c>
      <c r="E334" s="386" t="s">
        <v>10</v>
      </c>
      <c r="F334" s="8" t="s">
        <v>11</v>
      </c>
      <c r="G334" s="386" t="s">
        <v>12</v>
      </c>
      <c r="H334" s="2"/>
      <c r="I334" s="34"/>
      <c r="J334" s="2"/>
      <c r="K334" s="326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89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89"/>
      <c r="BJ334" s="305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</row>
    <row r="335" spans="1:137" s="15" customFormat="1" ht="16.5" customHeight="1" x14ac:dyDescent="0.2">
      <c r="A335" s="396">
        <v>1</v>
      </c>
      <c r="B335" s="386">
        <v>2</v>
      </c>
      <c r="C335" s="386">
        <v>3</v>
      </c>
      <c r="D335" s="386">
        <v>4</v>
      </c>
      <c r="E335" s="386">
        <v>5</v>
      </c>
      <c r="F335" s="386">
        <v>6</v>
      </c>
      <c r="G335" s="386">
        <v>7</v>
      </c>
      <c r="H335" s="2"/>
      <c r="I335" s="34"/>
      <c r="J335" s="2"/>
      <c r="K335" s="326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89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89"/>
      <c r="BJ335" s="305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</row>
    <row r="336" spans="1:137" s="15" customFormat="1" ht="46.5" customHeight="1" x14ac:dyDescent="0.2">
      <c r="A336" s="462" t="s">
        <v>14</v>
      </c>
      <c r="B336" s="434" t="s">
        <v>210</v>
      </c>
      <c r="C336" s="379" t="s">
        <v>16</v>
      </c>
      <c r="D336" s="12" t="s">
        <v>17</v>
      </c>
      <c r="E336" s="13">
        <f>2007.25*1.055*1.05</f>
        <v>2223.5300000000002</v>
      </c>
      <c r="F336" s="14">
        <f t="shared" ref="F336:F356" si="17">E336*20%</f>
        <v>444.71</v>
      </c>
      <c r="G336" s="14">
        <f>E336+F336</f>
        <v>2668.24</v>
      </c>
      <c r="H336" s="2"/>
      <c r="I336" s="34"/>
      <c r="J336" s="2"/>
      <c r="K336" s="326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89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89"/>
      <c r="BJ336" s="305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</row>
    <row r="337" spans="1:113" s="15" customFormat="1" ht="19.5" customHeight="1" x14ac:dyDescent="0.2">
      <c r="A337" s="462"/>
      <c r="B337" s="434"/>
      <c r="C337" s="379" t="s">
        <v>18</v>
      </c>
      <c r="D337" s="379" t="s">
        <v>19</v>
      </c>
      <c r="E337" s="13">
        <f>720*1.055*1.05</f>
        <v>797.58</v>
      </c>
      <c r="F337" s="14">
        <f t="shared" si="17"/>
        <v>159.52000000000001</v>
      </c>
      <c r="G337" s="14">
        <f t="shared" ref="G337:G349" si="18">E337+F337</f>
        <v>957.1</v>
      </c>
      <c r="H337" s="2"/>
      <c r="I337" s="34"/>
      <c r="J337" s="2"/>
      <c r="K337" s="326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89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89"/>
      <c r="BJ337" s="305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</row>
    <row r="338" spans="1:113" s="15" customFormat="1" ht="26.25" customHeight="1" x14ac:dyDescent="0.2">
      <c r="A338" s="462"/>
      <c r="B338" s="434"/>
      <c r="C338" s="12" t="s">
        <v>211</v>
      </c>
      <c r="D338" s="379" t="s">
        <v>19</v>
      </c>
      <c r="E338" s="13">
        <f>277.25*1.055*1.05</f>
        <v>307.12</v>
      </c>
      <c r="F338" s="14">
        <f t="shared" si="17"/>
        <v>61.42</v>
      </c>
      <c r="G338" s="14">
        <f t="shared" si="18"/>
        <v>368.54</v>
      </c>
      <c r="H338" s="2"/>
      <c r="I338" s="34"/>
      <c r="J338" s="2"/>
      <c r="K338" s="326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89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89"/>
      <c r="BJ338" s="305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</row>
    <row r="339" spans="1:113" s="15" customFormat="1" ht="33.75" customHeight="1" x14ac:dyDescent="0.2">
      <c r="A339" s="462"/>
      <c r="B339" s="434"/>
      <c r="C339" s="12" t="s">
        <v>212</v>
      </c>
      <c r="D339" s="379" t="s">
        <v>19</v>
      </c>
      <c r="E339" s="13">
        <f>480.45*1.055*1.05</f>
        <v>532.22</v>
      </c>
      <c r="F339" s="14">
        <f t="shared" si="17"/>
        <v>106.44</v>
      </c>
      <c r="G339" s="14">
        <f t="shared" si="18"/>
        <v>638.66</v>
      </c>
      <c r="H339" s="2"/>
      <c r="I339" s="34"/>
      <c r="J339" s="2"/>
      <c r="K339" s="326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89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89"/>
      <c r="BJ339" s="305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</row>
    <row r="340" spans="1:113" s="15" customFormat="1" ht="34.5" customHeight="1" x14ac:dyDescent="0.2">
      <c r="A340" s="462"/>
      <c r="B340" s="434"/>
      <c r="C340" s="12" t="s">
        <v>213</v>
      </c>
      <c r="D340" s="379" t="s">
        <v>19</v>
      </c>
      <c r="E340" s="13">
        <f>478.92*1.055*1.05</f>
        <v>530.52</v>
      </c>
      <c r="F340" s="14">
        <f t="shared" si="17"/>
        <v>106.1</v>
      </c>
      <c r="G340" s="14">
        <f t="shared" si="18"/>
        <v>636.62</v>
      </c>
      <c r="H340" s="2"/>
      <c r="I340" s="34"/>
      <c r="J340" s="2"/>
      <c r="K340" s="326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89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89"/>
      <c r="BJ340" s="305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</row>
    <row r="341" spans="1:113" s="15" customFormat="1" ht="39" customHeight="1" x14ac:dyDescent="0.2">
      <c r="A341" s="462"/>
      <c r="B341" s="434"/>
      <c r="C341" s="16" t="s">
        <v>214</v>
      </c>
      <c r="D341" s="379" t="s">
        <v>19</v>
      </c>
      <c r="E341" s="13">
        <f>185.4*1.055*1.05</f>
        <v>205.38</v>
      </c>
      <c r="F341" s="14">
        <f t="shared" si="17"/>
        <v>41.08</v>
      </c>
      <c r="G341" s="14">
        <f t="shared" si="18"/>
        <v>246.46</v>
      </c>
      <c r="H341" s="2"/>
      <c r="I341" s="34"/>
      <c r="J341" s="2"/>
      <c r="K341" s="326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89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89"/>
      <c r="BJ341" s="305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</row>
    <row r="342" spans="1:113" s="15" customFormat="1" ht="26.25" customHeight="1" x14ac:dyDescent="0.2">
      <c r="A342" s="375"/>
      <c r="B342" s="376"/>
      <c r="C342" s="16" t="s">
        <v>215</v>
      </c>
      <c r="D342" s="379" t="s">
        <v>19</v>
      </c>
      <c r="E342" s="13">
        <f>587.21*1.055*1.05</f>
        <v>650.48</v>
      </c>
      <c r="F342" s="14">
        <f t="shared" si="17"/>
        <v>130.1</v>
      </c>
      <c r="G342" s="14">
        <f t="shared" si="18"/>
        <v>780.58</v>
      </c>
      <c r="H342" s="2"/>
      <c r="I342" s="34"/>
      <c r="J342" s="2"/>
      <c r="K342" s="326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89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89"/>
      <c r="BJ342" s="305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</row>
    <row r="343" spans="1:113" s="15" customFormat="1" ht="43.5" customHeight="1" x14ac:dyDescent="0.2">
      <c r="A343" s="462" t="s">
        <v>26</v>
      </c>
      <c r="B343" s="434" t="s">
        <v>216</v>
      </c>
      <c r="C343" s="379" t="s">
        <v>16</v>
      </c>
      <c r="D343" s="12" t="s">
        <v>17</v>
      </c>
      <c r="E343" s="13">
        <f>2108.66*1.055*1.05</f>
        <v>2335.87</v>
      </c>
      <c r="F343" s="14">
        <f t="shared" si="17"/>
        <v>467.17</v>
      </c>
      <c r="G343" s="14">
        <f t="shared" si="18"/>
        <v>2803.04</v>
      </c>
      <c r="H343" s="2"/>
      <c r="I343" s="34"/>
      <c r="J343" s="2"/>
      <c r="K343" s="326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89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89"/>
      <c r="BJ343" s="305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</row>
    <row r="344" spans="1:113" s="15" customFormat="1" ht="26.25" customHeight="1" x14ac:dyDescent="0.2">
      <c r="A344" s="462"/>
      <c r="B344" s="434"/>
      <c r="C344" s="379" t="s">
        <v>28</v>
      </c>
      <c r="D344" s="379" t="s">
        <v>19</v>
      </c>
      <c r="E344" s="13">
        <f>812.65*1.055*1.05</f>
        <v>900.21</v>
      </c>
      <c r="F344" s="14">
        <f t="shared" si="17"/>
        <v>180.04</v>
      </c>
      <c r="G344" s="14">
        <f t="shared" si="18"/>
        <v>1080.25</v>
      </c>
      <c r="H344" s="2"/>
      <c r="I344" s="34"/>
      <c r="J344" s="2"/>
      <c r="K344" s="326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89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89"/>
      <c r="BJ344" s="305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</row>
    <row r="345" spans="1:113" s="15" customFormat="1" ht="26.25" customHeight="1" x14ac:dyDescent="0.2">
      <c r="A345" s="462"/>
      <c r="B345" s="434"/>
      <c r="C345" s="12" t="s">
        <v>217</v>
      </c>
      <c r="D345" s="379" t="s">
        <v>19</v>
      </c>
      <c r="E345" s="13">
        <f>277.25*1.055*1.05</f>
        <v>307.12</v>
      </c>
      <c r="F345" s="14">
        <f t="shared" si="17"/>
        <v>61.42</v>
      </c>
      <c r="G345" s="14">
        <f t="shared" si="18"/>
        <v>368.54</v>
      </c>
      <c r="H345" s="2"/>
      <c r="I345" s="34"/>
      <c r="J345" s="2"/>
      <c r="K345" s="326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89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89"/>
      <c r="BJ345" s="305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</row>
    <row r="346" spans="1:113" s="15" customFormat="1" ht="34.5" customHeight="1" x14ac:dyDescent="0.2">
      <c r="A346" s="462"/>
      <c r="B346" s="434"/>
      <c r="C346" s="12" t="s">
        <v>218</v>
      </c>
      <c r="D346" s="379" t="s">
        <v>19</v>
      </c>
      <c r="E346" s="13">
        <f>480.45*1.055*1.05</f>
        <v>532.22</v>
      </c>
      <c r="F346" s="14">
        <f t="shared" si="17"/>
        <v>106.44</v>
      </c>
      <c r="G346" s="14">
        <f t="shared" si="18"/>
        <v>638.66</v>
      </c>
      <c r="H346" s="2"/>
      <c r="I346" s="34"/>
      <c r="J346" s="2"/>
      <c r="K346" s="326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89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89"/>
      <c r="BJ346" s="305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</row>
    <row r="347" spans="1:113" s="15" customFormat="1" ht="37.5" customHeight="1" x14ac:dyDescent="0.2">
      <c r="A347" s="462"/>
      <c r="B347" s="434"/>
      <c r="C347" s="12" t="s">
        <v>219</v>
      </c>
      <c r="D347" s="379" t="s">
        <v>19</v>
      </c>
      <c r="E347" s="13">
        <f>478.92*1.055*1.05</f>
        <v>530.52</v>
      </c>
      <c r="F347" s="14">
        <f t="shared" si="17"/>
        <v>106.1</v>
      </c>
      <c r="G347" s="14">
        <f t="shared" si="18"/>
        <v>636.62</v>
      </c>
      <c r="H347" s="2"/>
      <c r="I347" s="34"/>
      <c r="J347" s="2"/>
      <c r="K347" s="326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89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89"/>
      <c r="BJ347" s="305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</row>
    <row r="348" spans="1:113" s="15" customFormat="1" ht="38.25" customHeight="1" x14ac:dyDescent="0.2">
      <c r="A348" s="462"/>
      <c r="B348" s="434"/>
      <c r="C348" s="16" t="s">
        <v>220</v>
      </c>
      <c r="D348" s="379" t="s">
        <v>19</v>
      </c>
      <c r="E348" s="13">
        <f>185.4*1.055*1.05</f>
        <v>205.38</v>
      </c>
      <c r="F348" s="14">
        <f t="shared" si="17"/>
        <v>41.08</v>
      </c>
      <c r="G348" s="14">
        <f t="shared" si="18"/>
        <v>246.46</v>
      </c>
      <c r="H348" s="2"/>
      <c r="I348" s="34"/>
      <c r="J348" s="2"/>
      <c r="K348" s="326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89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89"/>
      <c r="BJ348" s="305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</row>
    <row r="349" spans="1:113" s="15" customFormat="1" ht="29.25" customHeight="1" x14ac:dyDescent="0.2">
      <c r="A349" s="462"/>
      <c r="B349" s="434"/>
      <c r="C349" s="16" t="s">
        <v>215</v>
      </c>
      <c r="D349" s="379" t="s">
        <v>19</v>
      </c>
      <c r="E349" s="13">
        <f>587.21*1.055*1.05</f>
        <v>650.48</v>
      </c>
      <c r="F349" s="14">
        <f t="shared" si="17"/>
        <v>130.1</v>
      </c>
      <c r="G349" s="14">
        <f t="shared" si="18"/>
        <v>780.58</v>
      </c>
      <c r="H349" s="2"/>
      <c r="I349" s="34"/>
      <c r="J349" s="2"/>
      <c r="K349" s="326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89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89"/>
      <c r="BJ349" s="305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</row>
    <row r="350" spans="1:113" s="15" customFormat="1" ht="36.75" customHeight="1" x14ac:dyDescent="0.2">
      <c r="A350" s="462" t="s">
        <v>29</v>
      </c>
      <c r="B350" s="434" t="s">
        <v>221</v>
      </c>
      <c r="C350" s="379" t="s">
        <v>16</v>
      </c>
      <c r="D350" s="12" t="s">
        <v>17</v>
      </c>
      <c r="E350" s="13">
        <f>2205.45*1.055*1.05</f>
        <v>2443.09</v>
      </c>
      <c r="F350" s="14">
        <f t="shared" si="17"/>
        <v>488.62</v>
      </c>
      <c r="G350" s="14">
        <f>E350+F350</f>
        <v>2931.71</v>
      </c>
      <c r="H350" s="2"/>
      <c r="I350" s="34"/>
      <c r="J350" s="2"/>
      <c r="K350" s="326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89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89"/>
      <c r="BJ350" s="305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</row>
    <row r="351" spans="1:113" s="15" customFormat="1" ht="26.25" customHeight="1" x14ac:dyDescent="0.2">
      <c r="A351" s="462"/>
      <c r="B351" s="434"/>
      <c r="C351" s="379" t="s">
        <v>18</v>
      </c>
      <c r="D351" s="379" t="s">
        <v>19</v>
      </c>
      <c r="E351" s="13">
        <f>812.65*1.055*1.05</f>
        <v>900.21</v>
      </c>
      <c r="F351" s="14">
        <f t="shared" si="17"/>
        <v>180.04</v>
      </c>
      <c r="G351" s="14">
        <f t="shared" ref="G351:G356" si="19">E351+F351</f>
        <v>1080.25</v>
      </c>
      <c r="H351" s="2"/>
      <c r="I351" s="34"/>
      <c r="J351" s="2"/>
      <c r="K351" s="326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89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89"/>
      <c r="BJ351" s="305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</row>
    <row r="352" spans="1:113" s="15" customFormat="1" ht="26.25" customHeight="1" x14ac:dyDescent="0.2">
      <c r="A352" s="462"/>
      <c r="B352" s="434"/>
      <c r="C352" s="12" t="s">
        <v>211</v>
      </c>
      <c r="D352" s="379" t="s">
        <v>19</v>
      </c>
      <c r="E352" s="13">
        <f>277.25*1.055*1.05</f>
        <v>307.12</v>
      </c>
      <c r="F352" s="14">
        <f t="shared" si="17"/>
        <v>61.42</v>
      </c>
      <c r="G352" s="14">
        <f t="shared" si="19"/>
        <v>368.54</v>
      </c>
      <c r="H352" s="2"/>
      <c r="I352" s="34"/>
      <c r="J352" s="2"/>
      <c r="K352" s="326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89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89"/>
      <c r="BJ352" s="305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</row>
    <row r="353" spans="1:113" s="15" customFormat="1" ht="35.25" customHeight="1" x14ac:dyDescent="0.2">
      <c r="A353" s="462"/>
      <c r="B353" s="434"/>
      <c r="C353" s="12" t="s">
        <v>212</v>
      </c>
      <c r="D353" s="379" t="s">
        <v>19</v>
      </c>
      <c r="E353" s="13">
        <f>480.45*1.055*1.05</f>
        <v>532.22</v>
      </c>
      <c r="F353" s="14">
        <f t="shared" si="17"/>
        <v>106.44</v>
      </c>
      <c r="G353" s="14">
        <f t="shared" si="19"/>
        <v>638.66</v>
      </c>
      <c r="H353" s="2"/>
      <c r="I353" s="34"/>
      <c r="J353" s="2"/>
      <c r="K353" s="326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89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89"/>
      <c r="BJ353" s="305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</row>
    <row r="354" spans="1:113" s="15" customFormat="1" ht="33" customHeight="1" x14ac:dyDescent="0.2">
      <c r="A354" s="462"/>
      <c r="B354" s="434"/>
      <c r="C354" s="12" t="s">
        <v>213</v>
      </c>
      <c r="D354" s="379" t="s">
        <v>19</v>
      </c>
      <c r="E354" s="13">
        <f>670*1.055*1.05</f>
        <v>742.19</v>
      </c>
      <c r="F354" s="14">
        <f t="shared" si="17"/>
        <v>148.44</v>
      </c>
      <c r="G354" s="14">
        <f t="shared" si="19"/>
        <v>890.63</v>
      </c>
      <c r="H354" s="2"/>
      <c r="I354" s="34"/>
      <c r="J354" s="2"/>
      <c r="K354" s="326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89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89"/>
      <c r="BJ354" s="305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</row>
    <row r="355" spans="1:113" s="15" customFormat="1" ht="34.5" customHeight="1" x14ac:dyDescent="0.2">
      <c r="A355" s="462"/>
      <c r="B355" s="434"/>
      <c r="C355" s="16" t="s">
        <v>214</v>
      </c>
      <c r="D355" s="379" t="s">
        <v>19</v>
      </c>
      <c r="E355" s="13">
        <f>185.4*1.055*1.05</f>
        <v>205.38</v>
      </c>
      <c r="F355" s="14">
        <f t="shared" si="17"/>
        <v>41.08</v>
      </c>
      <c r="G355" s="14">
        <f t="shared" si="19"/>
        <v>246.46</v>
      </c>
      <c r="H355" s="2"/>
      <c r="I355" s="34"/>
      <c r="J355" s="2"/>
      <c r="K355" s="326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89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89"/>
      <c r="BJ355" s="305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</row>
    <row r="356" spans="1:113" s="15" customFormat="1" ht="26.25" customHeight="1" x14ac:dyDescent="0.2">
      <c r="A356" s="462"/>
      <c r="B356" s="434"/>
      <c r="C356" s="16" t="s">
        <v>215</v>
      </c>
      <c r="D356" s="379" t="s">
        <v>19</v>
      </c>
      <c r="E356" s="13">
        <f>587.21*1.055*1.05</f>
        <v>650.48</v>
      </c>
      <c r="F356" s="14">
        <f t="shared" si="17"/>
        <v>130.1</v>
      </c>
      <c r="G356" s="14">
        <f t="shared" si="19"/>
        <v>780.58</v>
      </c>
      <c r="H356" s="2"/>
      <c r="I356" s="34"/>
      <c r="J356" s="2"/>
      <c r="K356" s="326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89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89"/>
      <c r="BJ356" s="305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</row>
    <row r="357" spans="1:113" s="15" customFormat="1" ht="67.5" customHeight="1" x14ac:dyDescent="0.2">
      <c r="A357" s="396" t="s">
        <v>222</v>
      </c>
      <c r="B357" s="386" t="s">
        <v>194</v>
      </c>
      <c r="C357" s="425" t="s">
        <v>9</v>
      </c>
      <c r="D357" s="425"/>
      <c r="E357" s="91" t="s">
        <v>10</v>
      </c>
      <c r="F357" s="92" t="s">
        <v>11</v>
      </c>
      <c r="G357" s="91" t="s">
        <v>12</v>
      </c>
      <c r="H357" s="2"/>
      <c r="I357" s="34"/>
      <c r="J357" s="2"/>
      <c r="K357" s="326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89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89"/>
      <c r="BJ357" s="305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</row>
    <row r="358" spans="1:113" s="15" customFormat="1" ht="33.75" customHeight="1" x14ac:dyDescent="0.2">
      <c r="A358" s="396" t="s">
        <v>198</v>
      </c>
      <c r="B358" s="93" t="s">
        <v>223</v>
      </c>
      <c r="C358" s="463" t="s">
        <v>224</v>
      </c>
      <c r="D358" s="463"/>
      <c r="E358" s="13">
        <f>1600*1.055*1.05</f>
        <v>1772.4</v>
      </c>
      <c r="F358" s="14">
        <f>E358*20%</f>
        <v>354.48</v>
      </c>
      <c r="G358" s="14">
        <f>E358+F358</f>
        <v>2126.88</v>
      </c>
      <c r="H358" s="2"/>
      <c r="I358" s="34"/>
      <c r="J358" s="2"/>
      <c r="K358" s="326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89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89"/>
      <c r="BJ358" s="305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</row>
    <row r="359" spans="1:113" s="15" customFormat="1" ht="32.25" customHeight="1" x14ac:dyDescent="0.2">
      <c r="A359" s="396" t="s">
        <v>225</v>
      </c>
      <c r="B359" s="94" t="s">
        <v>226</v>
      </c>
      <c r="C359" s="463" t="s">
        <v>19</v>
      </c>
      <c r="D359" s="463"/>
      <c r="E359" s="13">
        <f>397.38*1.055*1.05</f>
        <v>440.2</v>
      </c>
      <c r="F359" s="14">
        <f>E359*20%</f>
        <v>88.04</v>
      </c>
      <c r="G359" s="14">
        <f>E359+F359</f>
        <v>528.24</v>
      </c>
      <c r="H359" s="2"/>
      <c r="I359" s="34"/>
      <c r="J359" s="2"/>
      <c r="K359" s="326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89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89"/>
      <c r="BJ359" s="305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</row>
    <row r="360" spans="1:113" s="15" customFormat="1" ht="24" customHeight="1" x14ac:dyDescent="0.2">
      <c r="A360" s="464" t="s">
        <v>2032</v>
      </c>
      <c r="B360" s="424"/>
      <c r="C360" s="424"/>
      <c r="D360" s="424"/>
      <c r="E360" s="424"/>
      <c r="F360" s="424"/>
      <c r="G360" s="465"/>
      <c r="H360" s="2"/>
      <c r="I360" s="34"/>
      <c r="J360" s="2"/>
      <c r="K360" s="326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89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89"/>
      <c r="BJ360" s="305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</row>
    <row r="361" spans="1:113" s="15" customFormat="1" ht="68.25" customHeight="1" x14ac:dyDescent="0.2">
      <c r="A361" s="396" t="s">
        <v>6</v>
      </c>
      <c r="B361" s="386" t="s">
        <v>194</v>
      </c>
      <c r="C361" s="386" t="s">
        <v>9</v>
      </c>
      <c r="D361" s="386" t="s">
        <v>10</v>
      </c>
      <c r="E361" s="8" t="s">
        <v>11</v>
      </c>
      <c r="F361" s="425" t="s">
        <v>12</v>
      </c>
      <c r="G361" s="425"/>
      <c r="H361" s="2"/>
      <c r="I361" s="34"/>
      <c r="J361" s="2"/>
      <c r="K361" s="326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89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89"/>
      <c r="BJ361" s="305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</row>
    <row r="362" spans="1:113" s="15" customFormat="1" ht="17.25" customHeight="1" x14ac:dyDescent="0.2">
      <c r="A362" s="95" t="s">
        <v>195</v>
      </c>
      <c r="B362" s="63" t="s">
        <v>196</v>
      </c>
      <c r="C362" s="63" t="s">
        <v>197</v>
      </c>
      <c r="D362" s="63" t="s">
        <v>198</v>
      </c>
      <c r="E362" s="388">
        <v>5</v>
      </c>
      <c r="F362" s="459">
        <v>6</v>
      </c>
      <c r="G362" s="459"/>
      <c r="H362" s="2"/>
      <c r="I362" s="34"/>
      <c r="J362" s="2"/>
      <c r="K362" s="326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89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89"/>
      <c r="BJ362" s="305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</row>
    <row r="363" spans="1:113" s="15" customFormat="1" ht="45" customHeight="1" x14ac:dyDescent="0.2">
      <c r="A363" s="396" t="s">
        <v>14</v>
      </c>
      <c r="B363" s="392" t="s">
        <v>227</v>
      </c>
      <c r="C363" s="384" t="s">
        <v>228</v>
      </c>
      <c r="D363" s="85">
        <f>2614.9*1.05</f>
        <v>2745.65</v>
      </c>
      <c r="E363" s="14">
        <f>D363*20%</f>
        <v>549.13</v>
      </c>
      <c r="F363" s="460">
        <f>D363+E363</f>
        <v>3294.78</v>
      </c>
      <c r="G363" s="460"/>
      <c r="H363" s="2" t="s">
        <v>125</v>
      </c>
      <c r="I363" s="34"/>
      <c r="J363" s="2"/>
      <c r="K363" s="326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89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89"/>
      <c r="BJ363" s="305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</row>
    <row r="364" spans="1:113" s="15" customFormat="1" ht="35.25" customHeight="1" x14ac:dyDescent="0.2">
      <c r="A364" s="396" t="s">
        <v>229</v>
      </c>
      <c r="B364" s="392" t="s">
        <v>230</v>
      </c>
      <c r="C364" s="384" t="s">
        <v>228</v>
      </c>
      <c r="D364" s="85">
        <f>2595.3*1.05</f>
        <v>2725.07</v>
      </c>
      <c r="E364" s="14">
        <f>D364*20%</f>
        <v>545.01</v>
      </c>
      <c r="F364" s="460">
        <f>D364+E364</f>
        <v>3270.08</v>
      </c>
      <c r="G364" s="460"/>
      <c r="H364" s="2" t="s">
        <v>125</v>
      </c>
      <c r="I364" s="34"/>
      <c r="J364" s="2"/>
      <c r="K364" s="326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89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89"/>
      <c r="BJ364" s="305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</row>
    <row r="365" spans="1:113" s="15" customFormat="1" ht="30" customHeight="1" x14ac:dyDescent="0.2">
      <c r="A365" s="396" t="s">
        <v>29</v>
      </c>
      <c r="B365" s="392" t="s">
        <v>231</v>
      </c>
      <c r="C365" s="384" t="s">
        <v>228</v>
      </c>
      <c r="D365" s="85">
        <f>2313.55*1.05</f>
        <v>2429.23</v>
      </c>
      <c r="E365" s="14">
        <f>D365*20%</f>
        <v>485.85</v>
      </c>
      <c r="F365" s="460">
        <f>D365+E365</f>
        <v>2915.08</v>
      </c>
      <c r="G365" s="460"/>
      <c r="H365" s="2"/>
      <c r="I365" s="34"/>
      <c r="J365" s="2"/>
      <c r="K365" s="326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89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89"/>
      <c r="BJ365" s="305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</row>
    <row r="366" spans="1:113" s="15" customFormat="1" ht="16.5" customHeight="1" x14ac:dyDescent="0.2">
      <c r="A366" s="424" t="s">
        <v>2033</v>
      </c>
      <c r="B366" s="424"/>
      <c r="C366" s="424"/>
      <c r="D366" s="424"/>
      <c r="E366" s="424"/>
      <c r="F366" s="424"/>
      <c r="G366" s="424"/>
      <c r="H366" s="2"/>
      <c r="I366" s="34"/>
      <c r="J366" s="2"/>
      <c r="K366" s="326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89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89"/>
      <c r="BJ366" s="305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</row>
    <row r="367" spans="1:113" s="15" customFormat="1" ht="46.5" customHeight="1" x14ac:dyDescent="0.2">
      <c r="A367" s="396" t="s">
        <v>6</v>
      </c>
      <c r="B367" s="386" t="s">
        <v>194</v>
      </c>
      <c r="C367" s="386" t="s">
        <v>9</v>
      </c>
      <c r="D367" s="386" t="s">
        <v>10</v>
      </c>
      <c r="E367" s="8" t="s">
        <v>11</v>
      </c>
      <c r="F367" s="425" t="s">
        <v>12</v>
      </c>
      <c r="G367" s="425"/>
      <c r="H367" s="2"/>
      <c r="I367" s="34"/>
      <c r="J367" s="2"/>
      <c r="K367" s="326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89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89"/>
      <c r="BJ367" s="305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</row>
    <row r="368" spans="1:113" s="15" customFormat="1" ht="20.25" customHeight="1" x14ac:dyDescent="0.2">
      <c r="A368" s="95" t="s">
        <v>195</v>
      </c>
      <c r="B368" s="63" t="s">
        <v>196</v>
      </c>
      <c r="C368" s="63" t="s">
        <v>197</v>
      </c>
      <c r="D368" s="63" t="s">
        <v>198</v>
      </c>
      <c r="E368" s="388">
        <v>5</v>
      </c>
      <c r="F368" s="459">
        <v>6</v>
      </c>
      <c r="G368" s="459"/>
      <c r="H368" s="2"/>
      <c r="I368" s="34"/>
      <c r="J368" s="2"/>
      <c r="K368" s="326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89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89"/>
      <c r="BJ368" s="305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</row>
    <row r="369" spans="1:114" s="15" customFormat="1" ht="72" customHeight="1" x14ac:dyDescent="0.2">
      <c r="A369" s="396" t="s">
        <v>14</v>
      </c>
      <c r="B369" s="392" t="s">
        <v>232</v>
      </c>
      <c r="C369" s="384" t="s">
        <v>228</v>
      </c>
      <c r="D369" s="85">
        <f>8100.9*1.05</f>
        <v>8505.9500000000007</v>
      </c>
      <c r="E369" s="14">
        <f>D369*20%</f>
        <v>1701.19</v>
      </c>
      <c r="F369" s="460">
        <f>D369+E369</f>
        <v>10207.14</v>
      </c>
      <c r="G369" s="460"/>
      <c r="H369" s="2"/>
      <c r="I369" s="34"/>
      <c r="J369" s="2"/>
      <c r="K369" s="326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89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89"/>
      <c r="BJ369" s="305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</row>
    <row r="370" spans="1:114" s="15" customFormat="1" ht="20.25" customHeight="1" x14ac:dyDescent="0.2">
      <c r="A370" s="391"/>
      <c r="B370" s="44"/>
      <c r="C370" s="34"/>
      <c r="D370" s="89"/>
      <c r="E370" s="96"/>
      <c r="F370" s="412"/>
      <c r="G370" s="412"/>
      <c r="H370" s="2"/>
      <c r="I370" s="34"/>
      <c r="J370" s="2"/>
      <c r="K370" s="326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89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89"/>
      <c r="BJ370" s="305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</row>
    <row r="371" spans="1:114" s="15" customFormat="1" ht="20.25" customHeight="1" x14ac:dyDescent="0.2">
      <c r="A371" s="461" t="s">
        <v>2030</v>
      </c>
      <c r="B371" s="461"/>
      <c r="C371" s="461"/>
      <c r="D371" s="461"/>
      <c r="E371" s="461"/>
      <c r="F371" s="461"/>
      <c r="G371" s="203"/>
      <c r="H371" s="2"/>
      <c r="I371" s="34"/>
      <c r="J371" s="2"/>
      <c r="K371" s="326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89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89"/>
      <c r="BJ371" s="305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</row>
    <row r="372" spans="1:114" s="15" customFormat="1" ht="20.25" customHeight="1" x14ac:dyDescent="0.2">
      <c r="A372" s="391"/>
      <c r="B372" s="44"/>
      <c r="C372" s="34"/>
      <c r="D372" s="89"/>
      <c r="E372" s="96"/>
      <c r="F372" s="412"/>
      <c r="G372" s="412"/>
      <c r="H372" s="2"/>
      <c r="I372" s="34"/>
      <c r="J372" s="2"/>
      <c r="K372" s="326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89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89"/>
      <c r="BJ372" s="305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</row>
    <row r="373" spans="1:114" s="15" customFormat="1" ht="79.5" customHeight="1" x14ac:dyDescent="0.2">
      <c r="A373" s="396" t="s">
        <v>193</v>
      </c>
      <c r="B373" s="386" t="s">
        <v>194</v>
      </c>
      <c r="C373" s="386" t="s">
        <v>9</v>
      </c>
      <c r="D373" s="386" t="s">
        <v>10</v>
      </c>
      <c r="E373" s="8" t="s">
        <v>11</v>
      </c>
      <c r="F373" s="386" t="s">
        <v>12</v>
      </c>
      <c r="G373" s="3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</row>
    <row r="374" spans="1:114" s="15" customFormat="1" ht="15.75" customHeight="1" x14ac:dyDescent="0.2">
      <c r="A374" s="396" t="s">
        <v>195</v>
      </c>
      <c r="B374" s="386" t="s">
        <v>196</v>
      </c>
      <c r="C374" s="386" t="s">
        <v>197</v>
      </c>
      <c r="D374" s="386" t="s">
        <v>198</v>
      </c>
      <c r="E374" s="407">
        <v>5</v>
      </c>
      <c r="F374" s="407">
        <v>6</v>
      </c>
      <c r="G374" s="3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</row>
    <row r="375" spans="1:114" s="15" customFormat="1" ht="18" customHeight="1" x14ac:dyDescent="0.2">
      <c r="A375" s="396" t="s">
        <v>14</v>
      </c>
      <c r="B375" s="419" t="s">
        <v>199</v>
      </c>
      <c r="C375" s="419"/>
      <c r="D375" s="419"/>
      <c r="E375" s="419"/>
      <c r="F375" s="419"/>
      <c r="G375" s="3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</row>
    <row r="376" spans="1:114" s="15" customFormat="1" ht="20.25" customHeight="1" x14ac:dyDescent="0.2">
      <c r="A376" s="250" t="s">
        <v>200</v>
      </c>
      <c r="B376" s="392" t="s">
        <v>201</v>
      </c>
      <c r="C376" s="384" t="s">
        <v>202</v>
      </c>
      <c r="D376" s="85">
        <f>960.67*1.04*1.04*1.055*1.05</f>
        <v>1151.02</v>
      </c>
      <c r="E376" s="14">
        <f>D376*20%</f>
        <v>230.2</v>
      </c>
      <c r="F376" s="389">
        <f>D376+E376</f>
        <v>1381.22</v>
      </c>
      <c r="G376" s="3"/>
      <c r="H376" s="2"/>
      <c r="I376" s="384" t="s">
        <v>203</v>
      </c>
      <c r="J376" s="2"/>
      <c r="K376" s="326">
        <v>1.0549999999999999</v>
      </c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>
        <v>1.0549999999999999</v>
      </c>
      <c r="Y376" s="86">
        <f>(867.22)*1.055</f>
        <v>914.92</v>
      </c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86">
        <f>914.92*1.05</f>
        <v>960.67</v>
      </c>
      <c r="BJ376" s="305">
        <f>BI376-D376</f>
        <v>-190.35</v>
      </c>
      <c r="BK376" s="2"/>
      <c r="BL376" s="2">
        <f>(5+100)/100</f>
        <v>1.05</v>
      </c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</row>
    <row r="377" spans="1:114" s="15" customFormat="1" ht="34.5" customHeight="1" x14ac:dyDescent="0.2">
      <c r="A377" s="250" t="s">
        <v>204</v>
      </c>
      <c r="B377" s="392" t="s">
        <v>205</v>
      </c>
      <c r="C377" s="384" t="s">
        <v>202</v>
      </c>
      <c r="D377" s="85">
        <f>149.86*1.04*1.055*1.05</f>
        <v>172.65</v>
      </c>
      <c r="E377" s="14">
        <f>D377*20%</f>
        <v>34.53</v>
      </c>
      <c r="F377" s="389">
        <f>D377+E377</f>
        <v>207.18</v>
      </c>
      <c r="G377" s="3"/>
      <c r="H377" s="2"/>
      <c r="I377" s="384"/>
      <c r="J377" s="2"/>
      <c r="K377" s="326">
        <v>1.0549999999999999</v>
      </c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87">
        <f>(130.09)*1.055</f>
        <v>137.24</v>
      </c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87">
        <f>137.24*1.05</f>
        <v>144.1</v>
      </c>
      <c r="BJ377" s="305">
        <f>BI377-D377</f>
        <v>-28.55</v>
      </c>
      <c r="BK377" s="2"/>
      <c r="BL377" s="2">
        <f>(5+100)/100</f>
        <v>1.05</v>
      </c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418"/>
    </row>
    <row r="378" spans="1:114" s="15" customFormat="1" ht="26.25" customHeight="1" x14ac:dyDescent="0.2">
      <c r="A378" s="396" t="s">
        <v>26</v>
      </c>
      <c r="B378" s="392" t="s">
        <v>206</v>
      </c>
      <c r="C378" s="384" t="s">
        <v>202</v>
      </c>
      <c r="D378" s="85">
        <f>32.93*1.04*1.055*1.05</f>
        <v>37.94</v>
      </c>
      <c r="E378" s="14">
        <f>D378*20%</f>
        <v>7.59</v>
      </c>
      <c r="F378" s="389">
        <f>D378+E378</f>
        <v>45.53</v>
      </c>
      <c r="G378" s="3"/>
      <c r="H378" s="2"/>
      <c r="I378" s="384" t="s">
        <v>207</v>
      </c>
      <c r="J378" s="2"/>
      <c r="K378" s="326">
        <v>1.0549999999999999</v>
      </c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85">
        <f>(15*1.055)</f>
        <v>15.83</v>
      </c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85">
        <f>15.83*2</f>
        <v>31.66</v>
      </c>
      <c r="BJ378" s="305">
        <f>BI378-D378</f>
        <v>-6.28</v>
      </c>
      <c r="BK378" s="2"/>
      <c r="BL378" s="2">
        <f>(100+100)/100</f>
        <v>2</v>
      </c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</row>
    <row r="379" spans="1:114" s="15" customFormat="1" ht="26.25" customHeight="1" thickBot="1" x14ac:dyDescent="0.25">
      <c r="A379" s="396" t="s">
        <v>29</v>
      </c>
      <c r="B379" s="392" t="s">
        <v>208</v>
      </c>
      <c r="C379" s="384" t="s">
        <v>202</v>
      </c>
      <c r="D379" s="85">
        <f>239.23*1.04*1.055*1.05</f>
        <v>275.61</v>
      </c>
      <c r="E379" s="14">
        <f>D379*20%</f>
        <v>55.12</v>
      </c>
      <c r="F379" s="389">
        <f>D379+E379</f>
        <v>330.73</v>
      </c>
      <c r="G379" s="3"/>
      <c r="H379" s="2"/>
      <c r="I379" s="34"/>
      <c r="J379" s="2"/>
      <c r="K379" s="326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88">
        <f>145.36*1.055</f>
        <v>153.35</v>
      </c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88">
        <f>153.35*1.5</f>
        <v>230.03</v>
      </c>
      <c r="BJ379" s="305">
        <f>BI379-D379</f>
        <v>-45.58</v>
      </c>
      <c r="BK379" s="2"/>
      <c r="BL379" s="2">
        <f>(50+100)/100</f>
        <v>1.5</v>
      </c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</row>
    <row r="380" spans="1:114" s="15" customFormat="1" ht="26.25" customHeight="1" x14ac:dyDescent="0.2">
      <c r="A380" s="396" t="s">
        <v>31</v>
      </c>
      <c r="B380" s="392" t="s">
        <v>209</v>
      </c>
      <c r="C380" s="384" t="s">
        <v>202</v>
      </c>
      <c r="D380" s="85">
        <f>142.86*1.055*1.05</f>
        <v>158.25</v>
      </c>
      <c r="E380" s="14">
        <f>D380*20%</f>
        <v>31.65</v>
      </c>
      <c r="F380" s="389">
        <f>D380+E380</f>
        <v>189.9</v>
      </c>
      <c r="G380" s="3"/>
      <c r="H380" s="2"/>
      <c r="I380" s="34"/>
      <c r="J380" s="2"/>
      <c r="K380" s="326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89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89"/>
      <c r="BJ380" s="305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</row>
    <row r="381" spans="1:114" s="15" customFormat="1" ht="20.25" customHeight="1" x14ac:dyDescent="0.2">
      <c r="A381" s="391"/>
      <c r="B381" s="44"/>
      <c r="C381" s="34"/>
      <c r="D381" s="89"/>
      <c r="E381" s="96"/>
      <c r="F381" s="412"/>
      <c r="G381" s="412"/>
      <c r="H381" s="2"/>
      <c r="I381" s="34"/>
      <c r="J381" s="2"/>
      <c r="K381" s="326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89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89"/>
      <c r="BJ381" s="305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</row>
    <row r="382" spans="1:114" s="15" customFormat="1" ht="36.75" customHeight="1" x14ac:dyDescent="0.2">
      <c r="A382" s="420" t="s">
        <v>2055</v>
      </c>
      <c r="B382" s="420"/>
      <c r="C382" s="420"/>
      <c r="D382" s="420"/>
      <c r="E382" s="420"/>
      <c r="F382" s="420"/>
      <c r="G382" s="412"/>
      <c r="H382" s="2"/>
      <c r="I382" s="34"/>
      <c r="J382" s="2"/>
      <c r="K382" s="326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89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89"/>
      <c r="BJ382" s="305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</row>
    <row r="383" spans="1:114" s="15" customFormat="1" ht="42" customHeight="1" x14ac:dyDescent="0.2">
      <c r="A383" s="424" t="s">
        <v>2056</v>
      </c>
      <c r="B383" s="424"/>
      <c r="C383" s="424"/>
      <c r="D383" s="424"/>
      <c r="E383" s="424"/>
      <c r="F383" s="424"/>
      <c r="G383" s="412"/>
      <c r="H383" s="2"/>
      <c r="I383" s="34"/>
      <c r="J383" s="2"/>
      <c r="K383" s="326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89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89"/>
      <c r="BJ383" s="305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</row>
    <row r="384" spans="1:114" s="15" customFormat="1" ht="21" customHeight="1" x14ac:dyDescent="0.2">
      <c r="A384" s="114" t="s">
        <v>14</v>
      </c>
      <c r="B384" s="441" t="s">
        <v>970</v>
      </c>
      <c r="C384" s="441"/>
      <c r="D384" s="441"/>
      <c r="E384" s="441"/>
      <c r="F384" s="441"/>
      <c r="G384" s="412"/>
      <c r="H384" s="2"/>
      <c r="I384" s="34"/>
      <c r="J384" s="2"/>
      <c r="K384" s="326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89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89"/>
      <c r="BJ384" s="305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</row>
    <row r="385" spans="1:113" s="15" customFormat="1" ht="21" customHeight="1" x14ac:dyDescent="0.2">
      <c r="A385" s="115" t="s">
        <v>200</v>
      </c>
      <c r="B385" s="116" t="s">
        <v>971</v>
      </c>
      <c r="C385" s="384" t="s">
        <v>228</v>
      </c>
      <c r="D385" s="389">
        <f>521.08*1.05</f>
        <v>547.13</v>
      </c>
      <c r="E385" s="14">
        <f>D385*20%</f>
        <v>109.43</v>
      </c>
      <c r="F385" s="117">
        <f>D385+E385</f>
        <v>656.56</v>
      </c>
      <c r="G385" s="412"/>
      <c r="H385" s="2"/>
      <c r="I385" s="34"/>
      <c r="J385" s="2"/>
      <c r="K385" s="326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89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89"/>
      <c r="BJ385" s="305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</row>
    <row r="386" spans="1:113" s="15" customFormat="1" ht="21" customHeight="1" x14ac:dyDescent="0.2">
      <c r="A386" s="114" t="s">
        <v>26</v>
      </c>
      <c r="B386" s="441" t="s">
        <v>973</v>
      </c>
      <c r="C386" s="441"/>
      <c r="D386" s="441"/>
      <c r="E386" s="441"/>
      <c r="F386" s="441"/>
      <c r="G386" s="412"/>
      <c r="H386" s="2"/>
      <c r="I386" s="34"/>
      <c r="J386" s="2"/>
      <c r="K386" s="326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89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89"/>
      <c r="BJ386" s="305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</row>
    <row r="387" spans="1:113" s="15" customFormat="1" ht="21" customHeight="1" x14ac:dyDescent="0.2">
      <c r="A387" s="115" t="s">
        <v>563</v>
      </c>
      <c r="B387" s="116" t="s">
        <v>971</v>
      </c>
      <c r="C387" s="384" t="s">
        <v>228</v>
      </c>
      <c r="D387" s="389">
        <f>483.81*1.05</f>
        <v>508</v>
      </c>
      <c r="E387" s="14">
        <f>D387*20%</f>
        <v>101.6</v>
      </c>
      <c r="F387" s="117">
        <f>D387+E387</f>
        <v>609.6</v>
      </c>
      <c r="G387" s="412"/>
      <c r="H387" s="2"/>
      <c r="I387" s="34"/>
      <c r="J387" s="2"/>
      <c r="K387" s="326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89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89"/>
      <c r="BJ387" s="305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</row>
    <row r="388" spans="1:113" s="15" customFormat="1" ht="21" customHeight="1" x14ac:dyDescent="0.2">
      <c r="A388" s="115" t="s">
        <v>565</v>
      </c>
      <c r="B388" s="116" t="s">
        <v>975</v>
      </c>
      <c r="C388" s="384" t="s">
        <v>228</v>
      </c>
      <c r="D388" s="389">
        <f>1366.73*1.05</f>
        <v>1435.07</v>
      </c>
      <c r="E388" s="14">
        <f>D388*20%</f>
        <v>287.01</v>
      </c>
      <c r="F388" s="117">
        <f>D388+E388</f>
        <v>1722.08</v>
      </c>
      <c r="G388" s="412"/>
      <c r="H388" s="2"/>
      <c r="I388" s="34"/>
      <c r="J388" s="2"/>
      <c r="K388" s="326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89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89"/>
      <c r="BJ388" s="305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</row>
    <row r="389" spans="1:113" s="15" customFormat="1" ht="21" customHeight="1" x14ac:dyDescent="0.2">
      <c r="A389" s="114" t="s">
        <v>29</v>
      </c>
      <c r="B389" s="441" t="s">
        <v>977</v>
      </c>
      <c r="C389" s="441"/>
      <c r="D389" s="441"/>
      <c r="E389" s="441"/>
      <c r="F389" s="441"/>
      <c r="G389" s="412"/>
      <c r="H389" s="2"/>
      <c r="I389" s="34"/>
      <c r="J389" s="2"/>
      <c r="K389" s="326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89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89"/>
      <c r="BJ389" s="305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</row>
    <row r="390" spans="1:113" s="15" customFormat="1" ht="21" customHeight="1" x14ac:dyDescent="0.2">
      <c r="A390" s="115" t="s">
        <v>578</v>
      </c>
      <c r="B390" s="116" t="s">
        <v>971</v>
      </c>
      <c r="C390" s="384" t="s">
        <v>228</v>
      </c>
      <c r="D390" s="389">
        <f>576.87*1.05</f>
        <v>605.71</v>
      </c>
      <c r="E390" s="14">
        <f>D390*20%</f>
        <v>121.14</v>
      </c>
      <c r="F390" s="117">
        <f>D390+E390</f>
        <v>726.85</v>
      </c>
      <c r="G390" s="412"/>
      <c r="H390" s="2"/>
      <c r="I390" s="34"/>
      <c r="J390" s="2"/>
      <c r="K390" s="326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89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89"/>
      <c r="BJ390" s="305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</row>
    <row r="391" spans="1:113" s="15" customFormat="1" ht="21" customHeight="1" x14ac:dyDescent="0.2">
      <c r="A391" s="115" t="s">
        <v>580</v>
      </c>
      <c r="B391" s="116" t="s">
        <v>975</v>
      </c>
      <c r="C391" s="384" t="s">
        <v>228</v>
      </c>
      <c r="D391" s="389">
        <f>1351.38*1.05</f>
        <v>1418.95</v>
      </c>
      <c r="E391" s="14">
        <f>D391*20%</f>
        <v>283.79000000000002</v>
      </c>
      <c r="F391" s="117">
        <f>D391+E391</f>
        <v>1702.74</v>
      </c>
      <c r="G391" s="412"/>
      <c r="H391" s="2"/>
      <c r="I391" s="34"/>
      <c r="J391" s="2"/>
      <c r="K391" s="326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89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89"/>
      <c r="BJ391" s="305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</row>
    <row r="392" spans="1:113" s="15" customFormat="1" ht="21" customHeight="1" x14ac:dyDescent="0.2">
      <c r="A392" s="114" t="s">
        <v>31</v>
      </c>
      <c r="B392" s="432" t="s">
        <v>980</v>
      </c>
      <c r="C392" s="432"/>
      <c r="D392" s="432"/>
      <c r="E392" s="432"/>
      <c r="F392" s="432"/>
      <c r="G392" s="412"/>
      <c r="H392" s="2"/>
      <c r="I392" s="34"/>
      <c r="J392" s="2"/>
      <c r="K392" s="326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89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89"/>
      <c r="BJ392" s="305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</row>
    <row r="393" spans="1:113" s="15" customFormat="1" ht="21" customHeight="1" x14ac:dyDescent="0.2">
      <c r="A393" s="115" t="s">
        <v>627</v>
      </c>
      <c r="B393" s="116" t="s">
        <v>971</v>
      </c>
      <c r="C393" s="384" t="s">
        <v>228</v>
      </c>
      <c r="D393" s="389">
        <f>658.66*1.05</f>
        <v>691.59</v>
      </c>
      <c r="E393" s="14">
        <f>D393*20%</f>
        <v>138.32</v>
      </c>
      <c r="F393" s="117">
        <f>D393+E393</f>
        <v>829.91</v>
      </c>
      <c r="G393" s="412"/>
      <c r="H393" s="2"/>
      <c r="I393" s="34"/>
      <c r="J393" s="2"/>
      <c r="K393" s="326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89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89"/>
      <c r="BJ393" s="305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</row>
    <row r="394" spans="1:113" s="15" customFormat="1" ht="21" customHeight="1" x14ac:dyDescent="0.2">
      <c r="A394" s="115" t="s">
        <v>628</v>
      </c>
      <c r="B394" s="116" t="s">
        <v>975</v>
      </c>
      <c r="C394" s="384" t="s">
        <v>228</v>
      </c>
      <c r="D394" s="389">
        <f>1372.18*1.05</f>
        <v>1440.79</v>
      </c>
      <c r="E394" s="14">
        <f>D394*20%</f>
        <v>288.16000000000003</v>
      </c>
      <c r="F394" s="117">
        <f>D394+E394</f>
        <v>1728.95</v>
      </c>
      <c r="G394" s="412"/>
      <c r="H394" s="2"/>
      <c r="I394" s="34"/>
      <c r="J394" s="2"/>
      <c r="K394" s="326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89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89"/>
      <c r="BJ394" s="305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</row>
    <row r="395" spans="1:113" s="15" customFormat="1" ht="21" customHeight="1" x14ac:dyDescent="0.2">
      <c r="A395" s="114" t="s">
        <v>33</v>
      </c>
      <c r="B395" s="432" t="s">
        <v>983</v>
      </c>
      <c r="C395" s="432"/>
      <c r="D395" s="432"/>
      <c r="E395" s="432"/>
      <c r="F395" s="432"/>
      <c r="G395" s="412"/>
      <c r="H395" s="2"/>
      <c r="I395" s="34"/>
      <c r="J395" s="2"/>
      <c r="K395" s="326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89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89"/>
      <c r="BJ395" s="305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</row>
    <row r="396" spans="1:113" s="15" customFormat="1" ht="21" customHeight="1" x14ac:dyDescent="0.2">
      <c r="A396" s="115" t="s">
        <v>639</v>
      </c>
      <c r="B396" s="392" t="s">
        <v>975</v>
      </c>
      <c r="C396" s="384" t="s">
        <v>228</v>
      </c>
      <c r="D396" s="389">
        <f>1155.56*1.05</f>
        <v>1213.3399999999999</v>
      </c>
      <c r="E396" s="14">
        <f>D396*20%</f>
        <v>242.67</v>
      </c>
      <c r="F396" s="117">
        <f>D396+E396</f>
        <v>1456.01</v>
      </c>
      <c r="G396" s="412"/>
      <c r="H396" s="2"/>
      <c r="I396" s="34"/>
      <c r="J396" s="2"/>
      <c r="K396" s="326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89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89"/>
      <c r="BJ396" s="305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</row>
    <row r="397" spans="1:113" s="15" customFormat="1" ht="21" customHeight="1" x14ac:dyDescent="0.2">
      <c r="A397" s="114" t="s">
        <v>35</v>
      </c>
      <c r="B397" s="432" t="s">
        <v>986</v>
      </c>
      <c r="C397" s="432"/>
      <c r="D397" s="432"/>
      <c r="E397" s="432"/>
      <c r="F397" s="432"/>
      <c r="G397" s="412"/>
      <c r="H397" s="2"/>
      <c r="I397" s="34"/>
      <c r="J397" s="2"/>
      <c r="K397" s="326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89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89"/>
      <c r="BJ397" s="305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</row>
    <row r="398" spans="1:113" s="15" customFormat="1" ht="21" customHeight="1" x14ac:dyDescent="0.2">
      <c r="A398" s="115" t="s">
        <v>259</v>
      </c>
      <c r="B398" s="116" t="s">
        <v>971</v>
      </c>
      <c r="C398" s="384" t="s">
        <v>228</v>
      </c>
      <c r="D398" s="389">
        <f>476.88*1.05</f>
        <v>500.72</v>
      </c>
      <c r="E398" s="14">
        <f>D398*20%</f>
        <v>100.14</v>
      </c>
      <c r="F398" s="117">
        <f>D398+E398</f>
        <v>600.86</v>
      </c>
      <c r="G398" s="412"/>
      <c r="H398" s="2"/>
      <c r="I398" s="34"/>
      <c r="J398" s="2"/>
      <c r="K398" s="326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89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89"/>
      <c r="BJ398" s="305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</row>
    <row r="399" spans="1:113" s="15" customFormat="1" ht="21" customHeight="1" x14ac:dyDescent="0.2">
      <c r="A399" s="115" t="s">
        <v>261</v>
      </c>
      <c r="B399" s="116" t="s">
        <v>975</v>
      </c>
      <c r="C399" s="384" t="s">
        <v>228</v>
      </c>
      <c r="D399" s="389">
        <f>1693.81*1.05</f>
        <v>1778.5</v>
      </c>
      <c r="E399" s="14">
        <f>D399*20%</f>
        <v>355.7</v>
      </c>
      <c r="F399" s="117">
        <f>D399+E399</f>
        <v>2134.1999999999998</v>
      </c>
      <c r="G399" s="412"/>
      <c r="H399" s="2"/>
      <c r="I399" s="34"/>
      <c r="J399" s="2"/>
      <c r="K399" s="326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89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89"/>
      <c r="BJ399" s="305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</row>
    <row r="400" spans="1:113" s="15" customFormat="1" ht="21" customHeight="1" x14ac:dyDescent="0.2">
      <c r="A400" s="114" t="s">
        <v>37</v>
      </c>
      <c r="B400" s="432" t="s">
        <v>989</v>
      </c>
      <c r="C400" s="432"/>
      <c r="D400" s="432"/>
      <c r="E400" s="432"/>
      <c r="F400" s="432"/>
      <c r="G400" s="412"/>
      <c r="H400" s="2"/>
      <c r="I400" s="34"/>
      <c r="J400" s="2"/>
      <c r="K400" s="326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89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89"/>
      <c r="BJ400" s="305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</row>
    <row r="401" spans="1:113" s="15" customFormat="1" ht="21" customHeight="1" x14ac:dyDescent="0.2">
      <c r="A401" s="115" t="s">
        <v>679</v>
      </c>
      <c r="B401" s="116" t="s">
        <v>975</v>
      </c>
      <c r="C401" s="384" t="s">
        <v>228</v>
      </c>
      <c r="D401" s="389">
        <f>672.07*1.05</f>
        <v>705.67</v>
      </c>
      <c r="E401" s="14">
        <f>D401*20%</f>
        <v>141.13</v>
      </c>
      <c r="F401" s="117">
        <f>D401+E401</f>
        <v>846.8</v>
      </c>
      <c r="G401" s="412"/>
      <c r="H401" s="2"/>
      <c r="I401" s="34"/>
      <c r="J401" s="2"/>
      <c r="K401" s="326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89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89"/>
      <c r="BJ401" s="305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</row>
    <row r="402" spans="1:113" s="15" customFormat="1" ht="21" customHeight="1" x14ac:dyDescent="0.2">
      <c r="A402" s="114" t="s">
        <v>39</v>
      </c>
      <c r="B402" s="432" t="s">
        <v>992</v>
      </c>
      <c r="C402" s="432"/>
      <c r="D402" s="432"/>
      <c r="E402" s="432"/>
      <c r="F402" s="432"/>
      <c r="G402" s="412"/>
      <c r="H402" s="2"/>
      <c r="I402" s="34"/>
      <c r="J402" s="2"/>
      <c r="K402" s="326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89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89"/>
      <c r="BJ402" s="305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</row>
    <row r="403" spans="1:113" s="15" customFormat="1" ht="35.25" customHeight="1" x14ac:dyDescent="0.2">
      <c r="A403" s="115" t="s">
        <v>705</v>
      </c>
      <c r="B403" s="392" t="s">
        <v>994</v>
      </c>
      <c r="C403" s="384" t="s">
        <v>228</v>
      </c>
      <c r="D403" s="389">
        <f>176.27*1.05</f>
        <v>185.08</v>
      </c>
      <c r="E403" s="14">
        <f>D403*20%</f>
        <v>37.020000000000003</v>
      </c>
      <c r="F403" s="117">
        <f>D403+E403</f>
        <v>222.1</v>
      </c>
      <c r="G403" s="412"/>
      <c r="H403" s="2"/>
      <c r="I403" s="34"/>
      <c r="J403" s="2"/>
      <c r="K403" s="326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89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89"/>
      <c r="BJ403" s="305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</row>
    <row r="404" spans="1:113" s="15" customFormat="1" ht="21" customHeight="1" x14ac:dyDescent="0.2">
      <c r="A404" s="115" t="s">
        <v>706</v>
      </c>
      <c r="B404" s="392" t="s">
        <v>996</v>
      </c>
      <c r="C404" s="384" t="s">
        <v>228</v>
      </c>
      <c r="D404" s="389">
        <f>2038.38*1.05</f>
        <v>2140.3000000000002</v>
      </c>
      <c r="E404" s="14">
        <f>D404*20%</f>
        <v>428.06</v>
      </c>
      <c r="F404" s="117">
        <f>D404+E404</f>
        <v>2568.36</v>
      </c>
      <c r="G404" s="412"/>
      <c r="H404" s="2"/>
      <c r="I404" s="34"/>
      <c r="J404" s="2"/>
      <c r="K404" s="326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89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89"/>
      <c r="BJ404" s="305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</row>
    <row r="405" spans="1:113" s="15" customFormat="1" ht="21" customHeight="1" x14ac:dyDescent="0.2">
      <c r="A405" s="114" t="s">
        <v>41</v>
      </c>
      <c r="B405" s="432" t="s">
        <v>997</v>
      </c>
      <c r="C405" s="432"/>
      <c r="D405" s="432"/>
      <c r="E405" s="432"/>
      <c r="F405" s="432"/>
      <c r="G405" s="412"/>
      <c r="H405" s="2"/>
      <c r="I405" s="34"/>
      <c r="J405" s="2"/>
      <c r="K405" s="326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89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89"/>
      <c r="BJ405" s="305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</row>
    <row r="406" spans="1:113" s="15" customFormat="1" ht="21" customHeight="1" x14ac:dyDescent="0.2">
      <c r="A406" s="115" t="s">
        <v>711</v>
      </c>
      <c r="B406" s="116" t="s">
        <v>975</v>
      </c>
      <c r="C406" s="384" t="s">
        <v>228</v>
      </c>
      <c r="D406" s="389">
        <f>1333.2*1.05</f>
        <v>1399.86</v>
      </c>
      <c r="E406" s="14">
        <f>D406*20%</f>
        <v>279.97000000000003</v>
      </c>
      <c r="F406" s="117">
        <f>D406+E406</f>
        <v>1679.83</v>
      </c>
      <c r="G406" s="412"/>
      <c r="H406" s="2"/>
      <c r="I406" s="34"/>
      <c r="J406" s="2"/>
      <c r="K406" s="326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89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89"/>
      <c r="BJ406" s="305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</row>
    <row r="407" spans="1:113" s="15" customFormat="1" ht="21" customHeight="1" x14ac:dyDescent="0.2">
      <c r="A407" s="115" t="s">
        <v>712</v>
      </c>
      <c r="B407" s="116" t="s">
        <v>971</v>
      </c>
      <c r="C407" s="384" t="s">
        <v>228</v>
      </c>
      <c r="D407" s="389">
        <f>738.93*1.05</f>
        <v>775.88</v>
      </c>
      <c r="E407" s="14">
        <f>D407*20%</f>
        <v>155.18</v>
      </c>
      <c r="F407" s="117">
        <f>D407+E407</f>
        <v>931.06</v>
      </c>
      <c r="G407" s="412"/>
      <c r="H407" s="2"/>
      <c r="I407" s="34"/>
      <c r="J407" s="2"/>
      <c r="K407" s="326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89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89"/>
      <c r="BJ407" s="305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</row>
    <row r="408" spans="1:113" s="15" customFormat="1" ht="21" customHeight="1" x14ac:dyDescent="0.2">
      <c r="A408" s="114" t="s">
        <v>44</v>
      </c>
      <c r="B408" s="441" t="s">
        <v>999</v>
      </c>
      <c r="C408" s="441"/>
      <c r="D408" s="441"/>
      <c r="E408" s="441"/>
      <c r="F408" s="441"/>
      <c r="G408" s="412"/>
      <c r="H408" s="2"/>
      <c r="I408" s="34"/>
      <c r="J408" s="2"/>
      <c r="K408" s="326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89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89"/>
      <c r="BJ408" s="305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</row>
    <row r="409" spans="1:113" s="15" customFormat="1" ht="21" customHeight="1" x14ac:dyDescent="0.2">
      <c r="A409" s="115" t="s">
        <v>728</v>
      </c>
      <c r="B409" s="116" t="s">
        <v>975</v>
      </c>
      <c r="C409" s="384" t="s">
        <v>228</v>
      </c>
      <c r="D409" s="389">
        <f>1545.11*1.05</f>
        <v>1622.37</v>
      </c>
      <c r="E409" s="14">
        <f>D409*20%</f>
        <v>324.47000000000003</v>
      </c>
      <c r="F409" s="117">
        <f>D409+E409</f>
        <v>1946.84</v>
      </c>
      <c r="G409" s="412"/>
      <c r="H409" s="2"/>
      <c r="I409" s="34"/>
      <c r="J409" s="2"/>
      <c r="K409" s="326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89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89"/>
      <c r="BJ409" s="305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</row>
    <row r="410" spans="1:113" s="15" customFormat="1" ht="21" customHeight="1" x14ac:dyDescent="0.2">
      <c r="A410" s="114" t="s">
        <v>46</v>
      </c>
      <c r="B410" s="441" t="s">
        <v>1002</v>
      </c>
      <c r="C410" s="441"/>
      <c r="D410" s="441"/>
      <c r="E410" s="441"/>
      <c r="F410" s="441"/>
      <c r="G410" s="412"/>
      <c r="H410" s="2"/>
      <c r="I410" s="34"/>
      <c r="J410" s="2"/>
      <c r="K410" s="326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89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89"/>
      <c r="BJ410" s="305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</row>
    <row r="411" spans="1:113" s="15" customFormat="1" ht="21" customHeight="1" x14ac:dyDescent="0.2">
      <c r="A411" s="115" t="s">
        <v>755</v>
      </c>
      <c r="B411" s="116" t="s">
        <v>975</v>
      </c>
      <c r="C411" s="384" t="s">
        <v>228</v>
      </c>
      <c r="D411" s="389">
        <f>1484.11*1.05</f>
        <v>1558.32</v>
      </c>
      <c r="E411" s="14">
        <f>D411*20%</f>
        <v>311.66000000000003</v>
      </c>
      <c r="F411" s="117">
        <f>D411+E411</f>
        <v>1869.98</v>
      </c>
      <c r="G411" s="412"/>
      <c r="H411" s="2"/>
      <c r="I411" s="34"/>
      <c r="J411" s="2"/>
      <c r="K411" s="326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89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89"/>
      <c r="BJ411" s="305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</row>
    <row r="412" spans="1:113" s="15" customFormat="1" ht="21" customHeight="1" x14ac:dyDescent="0.2">
      <c r="A412" s="114" t="s">
        <v>48</v>
      </c>
      <c r="B412" s="441" t="s">
        <v>1004</v>
      </c>
      <c r="C412" s="441"/>
      <c r="D412" s="441"/>
      <c r="E412" s="441"/>
      <c r="F412" s="441"/>
      <c r="G412" s="412"/>
      <c r="H412" s="2"/>
      <c r="I412" s="34"/>
      <c r="J412" s="2"/>
      <c r="K412" s="326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89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89"/>
      <c r="BJ412" s="305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</row>
    <row r="413" spans="1:113" s="15" customFormat="1" ht="21" customHeight="1" x14ac:dyDescent="0.2">
      <c r="A413" s="115" t="s">
        <v>780</v>
      </c>
      <c r="B413" s="392" t="s">
        <v>1005</v>
      </c>
      <c r="C413" s="384" t="s">
        <v>228</v>
      </c>
      <c r="D413" s="389">
        <f>507.36*1.05</f>
        <v>532.73</v>
      </c>
      <c r="E413" s="14">
        <f>D413*20%</f>
        <v>106.55</v>
      </c>
      <c r="F413" s="117">
        <f>D413+E413</f>
        <v>639.28</v>
      </c>
      <c r="G413" s="412"/>
      <c r="H413" s="2"/>
      <c r="I413" s="34"/>
      <c r="J413" s="2"/>
      <c r="K413" s="326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89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89"/>
      <c r="BJ413" s="305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</row>
    <row r="414" spans="1:113" s="15" customFormat="1" ht="21" customHeight="1" x14ac:dyDescent="0.2">
      <c r="A414" s="114" t="s">
        <v>50</v>
      </c>
      <c r="B414" s="441" t="s">
        <v>1007</v>
      </c>
      <c r="C414" s="441"/>
      <c r="D414" s="441"/>
      <c r="E414" s="441"/>
      <c r="F414" s="441"/>
      <c r="G414" s="412"/>
      <c r="H414" s="2"/>
      <c r="I414" s="34"/>
      <c r="J414" s="2"/>
      <c r="K414" s="326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89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89"/>
      <c r="BJ414" s="305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</row>
    <row r="415" spans="1:113" s="15" customFormat="1" ht="21" customHeight="1" x14ac:dyDescent="0.2">
      <c r="A415" s="115" t="s">
        <v>835</v>
      </c>
      <c r="B415" s="392" t="s">
        <v>1005</v>
      </c>
      <c r="C415" s="384" t="s">
        <v>228</v>
      </c>
      <c r="D415" s="389">
        <f>390.33*1.05</f>
        <v>409.85</v>
      </c>
      <c r="E415" s="14">
        <f>D415*20%</f>
        <v>81.97</v>
      </c>
      <c r="F415" s="117">
        <f>D415+E415</f>
        <v>491.82</v>
      </c>
      <c r="G415" s="412"/>
      <c r="H415" s="2"/>
      <c r="I415" s="34"/>
      <c r="J415" s="2"/>
      <c r="K415" s="326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89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89"/>
      <c r="BJ415" s="305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</row>
    <row r="416" spans="1:113" s="15" customFormat="1" ht="21" customHeight="1" x14ac:dyDescent="0.2">
      <c r="A416" s="114" t="s">
        <v>52</v>
      </c>
      <c r="B416" s="441" t="s">
        <v>1008</v>
      </c>
      <c r="C416" s="441"/>
      <c r="D416" s="441"/>
      <c r="E416" s="441"/>
      <c r="F416" s="441"/>
      <c r="G416" s="412"/>
      <c r="H416" s="2"/>
      <c r="I416" s="34"/>
      <c r="J416" s="2"/>
      <c r="K416" s="326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89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89"/>
      <c r="BJ416" s="305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</row>
    <row r="417" spans="1:113" s="15" customFormat="1" ht="21" customHeight="1" x14ac:dyDescent="0.2">
      <c r="A417" s="115" t="s">
        <v>846</v>
      </c>
      <c r="B417" s="392" t="s">
        <v>1005</v>
      </c>
      <c r="C417" s="384" t="s">
        <v>228</v>
      </c>
      <c r="D417" s="389">
        <f>390.33*1.05</f>
        <v>409.85</v>
      </c>
      <c r="E417" s="14">
        <f t="shared" ref="E417:E426" si="20">D417*20%</f>
        <v>81.97</v>
      </c>
      <c r="F417" s="117">
        <f t="shared" ref="F417:F422" si="21">D417+E417</f>
        <v>491.82</v>
      </c>
      <c r="G417" s="412"/>
      <c r="H417" s="2"/>
      <c r="I417" s="34"/>
      <c r="J417" s="2"/>
      <c r="K417" s="326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89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89"/>
      <c r="BJ417" s="305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</row>
    <row r="418" spans="1:113" s="15" customFormat="1" ht="21" customHeight="1" x14ac:dyDescent="0.2">
      <c r="A418" s="114" t="s">
        <v>54</v>
      </c>
      <c r="B418" s="392" t="s">
        <v>1009</v>
      </c>
      <c r="C418" s="384" t="s">
        <v>228</v>
      </c>
      <c r="D418" s="389">
        <f>1343.82*1.05</f>
        <v>1411.01</v>
      </c>
      <c r="E418" s="14">
        <f t="shared" si="20"/>
        <v>282.2</v>
      </c>
      <c r="F418" s="117">
        <f t="shared" si="21"/>
        <v>1693.21</v>
      </c>
      <c r="G418" s="412"/>
      <c r="H418" s="2"/>
      <c r="I418" s="34"/>
      <c r="J418" s="2"/>
      <c r="K418" s="326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89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89"/>
      <c r="BJ418" s="305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</row>
    <row r="419" spans="1:113" s="15" customFormat="1" ht="21" customHeight="1" x14ac:dyDescent="0.2">
      <c r="A419" s="114" t="s">
        <v>56</v>
      </c>
      <c r="B419" s="392" t="s">
        <v>1011</v>
      </c>
      <c r="C419" s="384" t="s">
        <v>228</v>
      </c>
      <c r="D419" s="389">
        <f>1089.15*1.05</f>
        <v>1143.6099999999999</v>
      </c>
      <c r="E419" s="14">
        <f t="shared" si="20"/>
        <v>228.72</v>
      </c>
      <c r="F419" s="117">
        <f t="shared" si="21"/>
        <v>1372.33</v>
      </c>
      <c r="G419" s="412"/>
      <c r="H419" s="2"/>
      <c r="I419" s="34"/>
      <c r="J419" s="2"/>
      <c r="K419" s="326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89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89"/>
      <c r="BJ419" s="305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</row>
    <row r="420" spans="1:113" s="15" customFormat="1" ht="21" customHeight="1" x14ac:dyDescent="0.2">
      <c r="A420" s="114" t="s">
        <v>58</v>
      </c>
      <c r="B420" s="392" t="s">
        <v>1013</v>
      </c>
      <c r="C420" s="384" t="s">
        <v>228</v>
      </c>
      <c r="D420" s="389">
        <f>1105.23*1.05</f>
        <v>1160.49</v>
      </c>
      <c r="E420" s="14">
        <f t="shared" si="20"/>
        <v>232.1</v>
      </c>
      <c r="F420" s="117">
        <f t="shared" si="21"/>
        <v>1392.59</v>
      </c>
      <c r="G420" s="412"/>
      <c r="H420" s="2"/>
      <c r="I420" s="34"/>
      <c r="J420" s="2"/>
      <c r="K420" s="326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89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89"/>
      <c r="BJ420" s="305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</row>
    <row r="421" spans="1:113" s="15" customFormat="1" ht="24.75" customHeight="1" x14ac:dyDescent="0.2">
      <c r="A421" s="114" t="s">
        <v>60</v>
      </c>
      <c r="B421" s="392" t="s">
        <v>1015</v>
      </c>
      <c r="C421" s="384" t="s">
        <v>228</v>
      </c>
      <c r="D421" s="389">
        <f>753.38*1.05</f>
        <v>791.05</v>
      </c>
      <c r="E421" s="14">
        <f t="shared" si="20"/>
        <v>158.21</v>
      </c>
      <c r="F421" s="117">
        <f t="shared" si="21"/>
        <v>949.26</v>
      </c>
      <c r="G421" s="412"/>
      <c r="H421" s="2"/>
      <c r="I421" s="34"/>
      <c r="J421" s="2"/>
      <c r="K421" s="326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89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89"/>
      <c r="BJ421" s="305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</row>
    <row r="422" spans="1:113" s="15" customFormat="1" ht="25.5" customHeight="1" x14ac:dyDescent="0.2">
      <c r="A422" s="114" t="s">
        <v>62</v>
      </c>
      <c r="B422" s="392" t="s">
        <v>1017</v>
      </c>
      <c r="C422" s="384" t="s">
        <v>228</v>
      </c>
      <c r="D422" s="389">
        <f>422.86*1.05</f>
        <v>444</v>
      </c>
      <c r="E422" s="14">
        <f t="shared" si="20"/>
        <v>88.8</v>
      </c>
      <c r="F422" s="117">
        <f t="shared" si="21"/>
        <v>532.79999999999995</v>
      </c>
      <c r="G422" s="412"/>
      <c r="H422" s="2"/>
      <c r="I422" s="34"/>
      <c r="J422" s="2"/>
      <c r="K422" s="326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89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89"/>
      <c r="BJ422" s="305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</row>
    <row r="423" spans="1:113" s="15" customFormat="1" ht="24.75" customHeight="1" x14ac:dyDescent="0.2">
      <c r="A423" s="114" t="s">
        <v>64</v>
      </c>
      <c r="B423" s="392" t="s">
        <v>1018</v>
      </c>
      <c r="C423" s="384" t="s">
        <v>228</v>
      </c>
      <c r="D423" s="389">
        <f>1854.04*1.05</f>
        <v>1946.74</v>
      </c>
      <c r="E423" s="14">
        <f t="shared" si="20"/>
        <v>389.35</v>
      </c>
      <c r="F423" s="117">
        <f>D423+E423</f>
        <v>2336.09</v>
      </c>
      <c r="G423" s="412"/>
      <c r="H423" s="2"/>
      <c r="I423" s="34"/>
      <c r="J423" s="2"/>
      <c r="K423" s="326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89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89"/>
      <c r="BJ423" s="305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</row>
    <row r="424" spans="1:113" s="15" customFormat="1" ht="26.25" customHeight="1" x14ac:dyDescent="0.2">
      <c r="A424" s="114" t="s">
        <v>66</v>
      </c>
      <c r="B424" s="392" t="s">
        <v>1019</v>
      </c>
      <c r="C424" s="384" t="s">
        <v>228</v>
      </c>
      <c r="D424" s="389">
        <f>774.57*1.05</f>
        <v>813.3</v>
      </c>
      <c r="E424" s="14">
        <f t="shared" si="20"/>
        <v>162.66</v>
      </c>
      <c r="F424" s="117">
        <f>D424+E424</f>
        <v>975.96</v>
      </c>
      <c r="G424" s="412"/>
      <c r="H424" s="2"/>
      <c r="I424" s="34"/>
      <c r="J424" s="2"/>
      <c r="K424" s="326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89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89"/>
      <c r="BJ424" s="305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</row>
    <row r="425" spans="1:113" s="15" customFormat="1" ht="51" customHeight="1" x14ac:dyDescent="0.2">
      <c r="A425" s="114" t="s">
        <v>68</v>
      </c>
      <c r="B425" s="392" t="s">
        <v>1738</v>
      </c>
      <c r="C425" s="384" t="s">
        <v>228</v>
      </c>
      <c r="D425" s="389">
        <v>1547.83</v>
      </c>
      <c r="E425" s="14">
        <f t="shared" si="20"/>
        <v>309.57</v>
      </c>
      <c r="F425" s="117">
        <f>D425+E425</f>
        <v>1857.4</v>
      </c>
      <c r="G425" s="412"/>
      <c r="H425" s="2"/>
      <c r="I425" s="34"/>
      <c r="J425" s="2"/>
      <c r="K425" s="326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89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89"/>
      <c r="BJ425" s="305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</row>
    <row r="426" spans="1:113" s="15" customFormat="1" ht="27" customHeight="1" x14ac:dyDescent="0.2">
      <c r="A426" s="114" t="s">
        <v>71</v>
      </c>
      <c r="B426" s="392" t="s">
        <v>2223</v>
      </c>
      <c r="C426" s="384" t="s">
        <v>228</v>
      </c>
      <c r="D426" s="389">
        <f>2654.33</f>
        <v>2654.33</v>
      </c>
      <c r="E426" s="14">
        <f t="shared" si="20"/>
        <v>530.87</v>
      </c>
      <c r="F426" s="117">
        <f>D426+E426</f>
        <v>3185.2</v>
      </c>
      <c r="G426" s="412"/>
      <c r="H426" s="2"/>
      <c r="I426" s="34"/>
      <c r="J426" s="2"/>
      <c r="K426" s="326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89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89"/>
      <c r="BJ426" s="305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</row>
    <row r="427" spans="1:113" s="15" customFormat="1" ht="33" customHeight="1" x14ac:dyDescent="0.2">
      <c r="A427" s="114" t="s">
        <v>73</v>
      </c>
      <c r="B427" s="392" t="s">
        <v>2278</v>
      </c>
      <c r="C427" s="384" t="s">
        <v>228</v>
      </c>
      <c r="D427" s="389">
        <v>3040.49</v>
      </c>
      <c r="E427" s="14">
        <f t="shared" ref="E427:E428" si="22">D427*20%</f>
        <v>608.1</v>
      </c>
      <c r="F427" s="117">
        <f t="shared" ref="F427:F428" si="23">D427+E427</f>
        <v>3648.59</v>
      </c>
      <c r="G427" s="412"/>
      <c r="H427" s="2"/>
      <c r="I427" s="34"/>
      <c r="J427" s="2"/>
      <c r="K427" s="326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89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89"/>
      <c r="BJ427" s="305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</row>
    <row r="428" spans="1:113" s="15" customFormat="1" ht="27" customHeight="1" x14ac:dyDescent="0.2">
      <c r="A428" s="114" t="s">
        <v>75</v>
      </c>
      <c r="B428" s="392" t="s">
        <v>2279</v>
      </c>
      <c r="C428" s="384" t="s">
        <v>228</v>
      </c>
      <c r="D428" s="389">
        <v>3095.12</v>
      </c>
      <c r="E428" s="14">
        <f t="shared" si="22"/>
        <v>619.02</v>
      </c>
      <c r="F428" s="117">
        <f t="shared" si="23"/>
        <v>3714.14</v>
      </c>
      <c r="G428" s="412"/>
      <c r="H428" s="2"/>
      <c r="I428" s="34"/>
      <c r="J428" s="2"/>
      <c r="K428" s="326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89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89"/>
      <c r="BJ428" s="305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</row>
    <row r="429" spans="1:113" s="15" customFormat="1" ht="17.25" customHeight="1" x14ac:dyDescent="0.2">
      <c r="A429" s="393"/>
      <c r="B429" s="393"/>
      <c r="C429" s="393"/>
      <c r="D429" s="393"/>
      <c r="E429" s="393"/>
      <c r="F429" s="393"/>
      <c r="G429" s="412"/>
      <c r="H429" s="2"/>
      <c r="I429" s="34"/>
      <c r="J429" s="2"/>
      <c r="K429" s="326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89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89"/>
      <c r="BJ429" s="305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</row>
    <row r="430" spans="1:113" s="41" customFormat="1" ht="28.5" customHeight="1" x14ac:dyDescent="0.2">
      <c r="A430" s="107" t="s">
        <v>195</v>
      </c>
      <c r="B430" s="437" t="s">
        <v>518</v>
      </c>
      <c r="C430" s="437"/>
      <c r="D430" s="437"/>
      <c r="E430" s="437"/>
      <c r="F430" s="437"/>
      <c r="G430" s="412"/>
      <c r="H430" s="2"/>
      <c r="I430" s="34"/>
      <c r="J430" s="2"/>
      <c r="K430" s="326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89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89"/>
      <c r="BJ430" s="305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</row>
    <row r="431" spans="1:113" s="41" customFormat="1" ht="46.5" customHeight="1" x14ac:dyDescent="0.2">
      <c r="A431" s="404" t="s">
        <v>200</v>
      </c>
      <c r="B431" s="397" t="s">
        <v>519</v>
      </c>
      <c r="C431" s="384" t="s">
        <v>228</v>
      </c>
      <c r="D431" s="13">
        <f>76.15*1.05</f>
        <v>79.959999999999994</v>
      </c>
      <c r="E431" s="14">
        <f t="shared" ref="E431:E436" si="24">D431*20%</f>
        <v>15.99</v>
      </c>
      <c r="F431" s="97">
        <f t="shared" ref="F431:F436" si="25">D431+E431</f>
        <v>95.95</v>
      </c>
      <c r="G431" s="412"/>
      <c r="H431" s="2"/>
      <c r="I431" s="34"/>
      <c r="J431" s="2"/>
      <c r="K431" s="326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89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89"/>
      <c r="BJ431" s="305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</row>
    <row r="432" spans="1:113" s="41" customFormat="1" ht="21.75" customHeight="1" x14ac:dyDescent="0.2">
      <c r="A432" s="404" t="s">
        <v>204</v>
      </c>
      <c r="B432" s="381" t="s">
        <v>520</v>
      </c>
      <c r="C432" s="384" t="s">
        <v>228</v>
      </c>
      <c r="D432" s="13">
        <f>59.28*1.05</f>
        <v>62.24</v>
      </c>
      <c r="E432" s="14">
        <f t="shared" si="24"/>
        <v>12.45</v>
      </c>
      <c r="F432" s="97">
        <f t="shared" si="25"/>
        <v>74.69</v>
      </c>
      <c r="G432" s="412"/>
      <c r="H432" s="2"/>
      <c r="I432" s="34"/>
      <c r="J432" s="2"/>
      <c r="K432" s="326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89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89"/>
      <c r="BJ432" s="305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</row>
    <row r="433" spans="1:113" s="41" customFormat="1" ht="32.25" customHeight="1" x14ac:dyDescent="0.2">
      <c r="A433" s="404" t="s">
        <v>521</v>
      </c>
      <c r="B433" s="381" t="s">
        <v>522</v>
      </c>
      <c r="C433" s="384" t="s">
        <v>228</v>
      </c>
      <c r="D433" s="13">
        <f>61.36*1.05</f>
        <v>64.430000000000007</v>
      </c>
      <c r="E433" s="14">
        <f t="shared" si="24"/>
        <v>12.89</v>
      </c>
      <c r="F433" s="97">
        <f t="shared" si="25"/>
        <v>77.319999999999993</v>
      </c>
      <c r="G433" s="412"/>
      <c r="H433" s="2"/>
      <c r="I433" s="34"/>
      <c r="J433" s="2"/>
      <c r="K433" s="326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89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89"/>
      <c r="BJ433" s="305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</row>
    <row r="434" spans="1:113" s="41" customFormat="1" ht="19.5" customHeight="1" x14ac:dyDescent="0.2">
      <c r="A434" s="404" t="s">
        <v>523</v>
      </c>
      <c r="B434" s="381" t="s">
        <v>524</v>
      </c>
      <c r="C434" s="384" t="s">
        <v>228</v>
      </c>
      <c r="D434" s="13">
        <f>66.56*1.05</f>
        <v>69.89</v>
      </c>
      <c r="E434" s="14">
        <f t="shared" si="24"/>
        <v>13.98</v>
      </c>
      <c r="F434" s="97">
        <f t="shared" si="25"/>
        <v>83.87</v>
      </c>
      <c r="G434" s="412"/>
      <c r="H434" s="2"/>
      <c r="I434" s="34"/>
      <c r="J434" s="2"/>
      <c r="K434" s="326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89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89"/>
      <c r="BJ434" s="305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</row>
    <row r="435" spans="1:113" s="41" customFormat="1" ht="33" customHeight="1" x14ac:dyDescent="0.2">
      <c r="A435" s="404" t="s">
        <v>525</v>
      </c>
      <c r="B435" s="381" t="s">
        <v>526</v>
      </c>
      <c r="C435" s="384" t="s">
        <v>228</v>
      </c>
      <c r="D435" s="13">
        <f>64.48*1.05</f>
        <v>67.7</v>
      </c>
      <c r="E435" s="14">
        <f t="shared" si="24"/>
        <v>13.54</v>
      </c>
      <c r="F435" s="97">
        <f t="shared" si="25"/>
        <v>81.239999999999995</v>
      </c>
      <c r="G435" s="412"/>
      <c r="H435" s="2"/>
      <c r="I435" s="34"/>
      <c r="J435" s="2"/>
      <c r="K435" s="326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89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89"/>
      <c r="BJ435" s="305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</row>
    <row r="436" spans="1:113" s="41" customFormat="1" ht="20.25" customHeight="1" x14ac:dyDescent="0.2">
      <c r="A436" s="404" t="s">
        <v>527</v>
      </c>
      <c r="B436" s="381" t="s">
        <v>528</v>
      </c>
      <c r="C436" s="384" t="s">
        <v>228</v>
      </c>
      <c r="D436" s="13">
        <f>31.65*1.05</f>
        <v>33.229999999999997</v>
      </c>
      <c r="E436" s="14">
        <f t="shared" si="24"/>
        <v>6.65</v>
      </c>
      <c r="F436" s="97">
        <f t="shared" si="25"/>
        <v>39.880000000000003</v>
      </c>
      <c r="G436" s="412"/>
      <c r="H436" s="2"/>
      <c r="I436" s="34"/>
      <c r="J436" s="2"/>
      <c r="K436" s="326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89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89"/>
      <c r="BJ436" s="305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</row>
    <row r="437" spans="1:113" s="41" customFormat="1" ht="27" customHeight="1" x14ac:dyDescent="0.2">
      <c r="A437" s="108" t="s">
        <v>26</v>
      </c>
      <c r="B437" s="429" t="s">
        <v>562</v>
      </c>
      <c r="C437" s="429"/>
      <c r="D437" s="429"/>
      <c r="E437" s="429"/>
      <c r="F437" s="429"/>
      <c r="G437" s="412"/>
      <c r="H437" s="2"/>
      <c r="I437" s="34"/>
      <c r="J437" s="2"/>
      <c r="K437" s="326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89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89"/>
      <c r="BJ437" s="305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</row>
    <row r="438" spans="1:113" s="41" customFormat="1" ht="47.25" customHeight="1" x14ac:dyDescent="0.2">
      <c r="A438" s="404" t="s">
        <v>563</v>
      </c>
      <c r="B438" s="397" t="s">
        <v>564</v>
      </c>
      <c r="C438" s="384" t="s">
        <v>228</v>
      </c>
      <c r="D438" s="13">
        <f>76.15*1.05</f>
        <v>79.959999999999994</v>
      </c>
      <c r="E438" s="14">
        <f>D438*20%</f>
        <v>15.99</v>
      </c>
      <c r="F438" s="97">
        <f>D438+E438</f>
        <v>95.95</v>
      </c>
      <c r="G438" s="412"/>
      <c r="H438" s="2"/>
      <c r="I438" s="34"/>
      <c r="J438" s="2"/>
      <c r="K438" s="326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89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89"/>
      <c r="BJ438" s="305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</row>
    <row r="439" spans="1:113" s="41" customFormat="1" ht="21.75" customHeight="1" x14ac:dyDescent="0.2">
      <c r="A439" s="404" t="s">
        <v>565</v>
      </c>
      <c r="B439" s="381" t="s">
        <v>566</v>
      </c>
      <c r="C439" s="384" t="s">
        <v>228</v>
      </c>
      <c r="D439" s="13">
        <f>13.77*1.05</f>
        <v>14.46</v>
      </c>
      <c r="E439" s="14">
        <f>D439*20%</f>
        <v>2.89</v>
      </c>
      <c r="F439" s="97">
        <f>D439+E439</f>
        <v>17.350000000000001</v>
      </c>
      <c r="G439" s="412"/>
      <c r="H439" s="2"/>
      <c r="I439" s="34"/>
      <c r="J439" s="2"/>
      <c r="K439" s="326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89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89"/>
      <c r="BJ439" s="305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</row>
    <row r="440" spans="1:113" s="41" customFormat="1" ht="25.5" customHeight="1" x14ac:dyDescent="0.2">
      <c r="A440" s="109" t="s">
        <v>29</v>
      </c>
      <c r="B440" s="450" t="s">
        <v>577</v>
      </c>
      <c r="C440" s="450"/>
      <c r="D440" s="450"/>
      <c r="E440" s="450"/>
      <c r="F440" s="450"/>
      <c r="G440" s="412"/>
      <c r="H440" s="2"/>
      <c r="I440" s="34"/>
      <c r="J440" s="2"/>
      <c r="K440" s="326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89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89"/>
      <c r="BJ440" s="305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</row>
    <row r="441" spans="1:113" s="41" customFormat="1" ht="37.5" customHeight="1" x14ac:dyDescent="0.2">
      <c r="A441" s="404" t="s">
        <v>578</v>
      </c>
      <c r="B441" s="381" t="s">
        <v>593</v>
      </c>
      <c r="C441" s="384" t="s">
        <v>228</v>
      </c>
      <c r="D441" s="13">
        <f>95.27*1.05</f>
        <v>100.03</v>
      </c>
      <c r="E441" s="14">
        <f t="shared" ref="E441:E444" si="26">D441*20%</f>
        <v>20.010000000000002</v>
      </c>
      <c r="F441" s="97">
        <f t="shared" ref="F441:F444" si="27">D441+E441</f>
        <v>120.04</v>
      </c>
      <c r="G441" s="412"/>
      <c r="H441" s="2"/>
      <c r="I441" s="34"/>
      <c r="J441" s="2"/>
      <c r="K441" s="326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89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89"/>
      <c r="BJ441" s="305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</row>
    <row r="442" spans="1:113" s="41" customFormat="1" ht="22.5" customHeight="1" x14ac:dyDescent="0.2">
      <c r="A442" s="404" t="s">
        <v>580</v>
      </c>
      <c r="B442" s="381" t="s">
        <v>620</v>
      </c>
      <c r="C442" s="384" t="s">
        <v>228</v>
      </c>
      <c r="D442" s="13">
        <f>141.4*1.05</f>
        <v>148.47</v>
      </c>
      <c r="E442" s="14">
        <f t="shared" si="26"/>
        <v>29.69</v>
      </c>
      <c r="F442" s="97">
        <f t="shared" si="27"/>
        <v>178.16</v>
      </c>
      <c r="G442" s="412"/>
      <c r="H442" s="2"/>
      <c r="I442" s="34"/>
      <c r="J442" s="2"/>
      <c r="K442" s="326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89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89"/>
      <c r="BJ442" s="305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</row>
    <row r="443" spans="1:113" s="41" customFormat="1" ht="32.25" customHeight="1" x14ac:dyDescent="0.2">
      <c r="A443" s="404" t="s">
        <v>582</v>
      </c>
      <c r="B443" s="381" t="s">
        <v>622</v>
      </c>
      <c r="C443" s="384" t="s">
        <v>228</v>
      </c>
      <c r="D443" s="13">
        <f>32.27*1.05</f>
        <v>33.880000000000003</v>
      </c>
      <c r="E443" s="14">
        <f t="shared" si="26"/>
        <v>6.78</v>
      </c>
      <c r="F443" s="97">
        <f t="shared" si="27"/>
        <v>40.659999999999997</v>
      </c>
      <c r="G443" s="412"/>
      <c r="H443" s="2"/>
      <c r="I443" s="34"/>
      <c r="J443" s="2"/>
      <c r="K443" s="326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89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89"/>
      <c r="BJ443" s="305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</row>
    <row r="444" spans="1:113" s="41" customFormat="1" ht="45.75" customHeight="1" x14ac:dyDescent="0.2">
      <c r="A444" s="404" t="s">
        <v>584</v>
      </c>
      <c r="B444" s="397" t="s">
        <v>564</v>
      </c>
      <c r="C444" s="384" t="s">
        <v>228</v>
      </c>
      <c r="D444" s="13">
        <f>76.15*1.05</f>
        <v>79.959999999999994</v>
      </c>
      <c r="E444" s="14">
        <f t="shared" si="26"/>
        <v>15.99</v>
      </c>
      <c r="F444" s="97">
        <f t="shared" si="27"/>
        <v>95.95</v>
      </c>
      <c r="G444" s="412"/>
      <c r="H444" s="2"/>
      <c r="I444" s="34"/>
      <c r="J444" s="2"/>
      <c r="K444" s="326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89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89"/>
      <c r="BJ444" s="305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</row>
    <row r="445" spans="1:113" s="41" customFormat="1" ht="27.75" customHeight="1" x14ac:dyDescent="0.2">
      <c r="A445" s="380" t="s">
        <v>31</v>
      </c>
      <c r="B445" s="429" t="s">
        <v>626</v>
      </c>
      <c r="C445" s="429"/>
      <c r="D445" s="429"/>
      <c r="E445" s="429"/>
      <c r="F445" s="429"/>
      <c r="G445" s="412"/>
      <c r="H445" s="2"/>
      <c r="I445" s="34"/>
      <c r="J445" s="2"/>
      <c r="K445" s="326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89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89"/>
      <c r="BJ445" s="305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</row>
    <row r="446" spans="1:113" s="41" customFormat="1" ht="47.25" customHeight="1" x14ac:dyDescent="0.2">
      <c r="A446" s="404" t="s">
        <v>627</v>
      </c>
      <c r="B446" s="397" t="s">
        <v>564</v>
      </c>
      <c r="C446" s="384" t="s">
        <v>228</v>
      </c>
      <c r="D446" s="13">
        <f>76.15*1.05</f>
        <v>79.959999999999994</v>
      </c>
      <c r="E446" s="14">
        <f>D446*20%</f>
        <v>15.99</v>
      </c>
      <c r="F446" s="97">
        <f>D446+E446</f>
        <v>95.95</v>
      </c>
      <c r="G446" s="412"/>
      <c r="H446" s="2"/>
      <c r="I446" s="34"/>
      <c r="J446" s="2"/>
      <c r="K446" s="326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89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89"/>
      <c r="BJ446" s="305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</row>
    <row r="447" spans="1:113" s="41" customFormat="1" ht="25.5" customHeight="1" x14ac:dyDescent="0.2">
      <c r="A447" s="404" t="s">
        <v>628</v>
      </c>
      <c r="B447" s="381" t="s">
        <v>520</v>
      </c>
      <c r="C447" s="384" t="s">
        <v>228</v>
      </c>
      <c r="D447" s="13">
        <f>36.4*1.05</f>
        <v>38.22</v>
      </c>
      <c r="E447" s="14">
        <f>D447*20%</f>
        <v>7.64</v>
      </c>
      <c r="F447" s="97">
        <f>D447+E447</f>
        <v>45.86</v>
      </c>
      <c r="G447" s="412"/>
      <c r="H447" s="2"/>
      <c r="I447" s="34"/>
      <c r="J447" s="2"/>
      <c r="K447" s="326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89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89"/>
      <c r="BJ447" s="305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</row>
    <row r="448" spans="1:113" s="41" customFormat="1" ht="36.75" customHeight="1" x14ac:dyDescent="0.2">
      <c r="A448" s="404" t="s">
        <v>629</v>
      </c>
      <c r="B448" s="381" t="s">
        <v>630</v>
      </c>
      <c r="C448" s="384" t="s">
        <v>228</v>
      </c>
      <c r="D448" s="13">
        <f>44.42*1.05</f>
        <v>46.64</v>
      </c>
      <c r="E448" s="14">
        <f>D448*20%</f>
        <v>9.33</v>
      </c>
      <c r="F448" s="97">
        <f>D448+E448</f>
        <v>55.97</v>
      </c>
      <c r="G448" s="412"/>
      <c r="H448" s="2"/>
      <c r="I448" s="34"/>
      <c r="J448" s="2"/>
      <c r="K448" s="326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89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89"/>
      <c r="BJ448" s="305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</row>
    <row r="449" spans="1:113" s="41" customFormat="1" ht="24" customHeight="1" x14ac:dyDescent="0.2">
      <c r="A449" s="404" t="s">
        <v>631</v>
      </c>
      <c r="B449" s="381" t="s">
        <v>632</v>
      </c>
      <c r="C449" s="384" t="s">
        <v>228</v>
      </c>
      <c r="D449" s="13">
        <f>41.23*1.05</f>
        <v>43.29</v>
      </c>
      <c r="E449" s="14">
        <f>D449*20%</f>
        <v>8.66</v>
      </c>
      <c r="F449" s="97">
        <f>D449+E449</f>
        <v>51.95</v>
      </c>
      <c r="G449" s="412"/>
      <c r="H449" s="2"/>
      <c r="I449" s="34"/>
      <c r="J449" s="2"/>
      <c r="K449" s="326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89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89"/>
      <c r="BJ449" s="305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</row>
    <row r="450" spans="1:113" s="41" customFormat="1" ht="27" customHeight="1" x14ac:dyDescent="0.2">
      <c r="A450" s="380" t="s">
        <v>33</v>
      </c>
      <c r="B450" s="429" t="s">
        <v>678</v>
      </c>
      <c r="C450" s="429"/>
      <c r="D450" s="429"/>
      <c r="E450" s="429"/>
      <c r="F450" s="429"/>
      <c r="G450" s="412"/>
      <c r="H450" s="2"/>
      <c r="I450" s="34"/>
      <c r="J450" s="2"/>
      <c r="K450" s="326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89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89"/>
      <c r="BJ450" s="305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</row>
    <row r="451" spans="1:113" s="41" customFormat="1" ht="45" customHeight="1" x14ac:dyDescent="0.2">
      <c r="A451" s="404" t="s">
        <v>639</v>
      </c>
      <c r="B451" s="397" t="s">
        <v>564</v>
      </c>
      <c r="C451" s="384" t="s">
        <v>228</v>
      </c>
      <c r="D451" s="13">
        <f>76.15*1.05</f>
        <v>79.959999999999994</v>
      </c>
      <c r="E451" s="14">
        <f>D451*20%</f>
        <v>15.99</v>
      </c>
      <c r="F451" s="97">
        <f>D451+E451</f>
        <v>95.95</v>
      </c>
      <c r="G451" s="412"/>
      <c r="H451" s="2"/>
      <c r="I451" s="34"/>
      <c r="J451" s="2"/>
      <c r="K451" s="326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89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89"/>
      <c r="BJ451" s="305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</row>
    <row r="452" spans="1:113" s="41" customFormat="1" ht="21" customHeight="1" x14ac:dyDescent="0.2">
      <c r="A452" s="404"/>
      <c r="B452" s="430" t="s">
        <v>529</v>
      </c>
      <c r="C452" s="430"/>
      <c r="D452" s="430"/>
      <c r="E452" s="430"/>
      <c r="F452" s="430"/>
      <c r="G452" s="412"/>
      <c r="H452" s="2"/>
      <c r="I452" s="34"/>
      <c r="J452" s="2"/>
      <c r="K452" s="326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89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89"/>
      <c r="BJ452" s="305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</row>
    <row r="453" spans="1:113" s="41" customFormat="1" ht="24" customHeight="1" x14ac:dyDescent="0.2">
      <c r="A453" s="404" t="s">
        <v>640</v>
      </c>
      <c r="B453" s="381" t="s">
        <v>681</v>
      </c>
      <c r="C453" s="384" t="s">
        <v>228</v>
      </c>
      <c r="D453" s="13">
        <f>53.47*1.05</f>
        <v>56.14</v>
      </c>
      <c r="E453" s="14">
        <f t="shared" ref="E453:E464" si="28">D453*20%</f>
        <v>11.23</v>
      </c>
      <c r="F453" s="97">
        <f t="shared" ref="F453:F464" si="29">D453+E453</f>
        <v>67.37</v>
      </c>
      <c r="G453" s="412"/>
      <c r="H453" s="2"/>
      <c r="I453" s="34"/>
      <c r="J453" s="2"/>
      <c r="K453" s="326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89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89"/>
      <c r="BJ453" s="305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</row>
    <row r="454" spans="1:113" s="41" customFormat="1" ht="24" customHeight="1" x14ac:dyDescent="0.2">
      <c r="A454" s="404" t="s">
        <v>641</v>
      </c>
      <c r="B454" s="381" t="s">
        <v>683</v>
      </c>
      <c r="C454" s="384" t="s">
        <v>228</v>
      </c>
      <c r="D454" s="13">
        <f>63.21*1.05</f>
        <v>66.37</v>
      </c>
      <c r="E454" s="14">
        <f t="shared" si="28"/>
        <v>13.27</v>
      </c>
      <c r="F454" s="97">
        <f t="shared" si="29"/>
        <v>79.64</v>
      </c>
      <c r="G454" s="412"/>
      <c r="H454" s="2"/>
      <c r="I454" s="34"/>
      <c r="J454" s="2"/>
      <c r="K454" s="326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89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89"/>
      <c r="BJ454" s="305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</row>
    <row r="455" spans="1:113" s="41" customFormat="1" ht="24" customHeight="1" x14ac:dyDescent="0.2">
      <c r="A455" s="404" t="s">
        <v>642</v>
      </c>
      <c r="B455" s="381" t="s">
        <v>685</v>
      </c>
      <c r="C455" s="384" t="s">
        <v>228</v>
      </c>
      <c r="D455" s="13">
        <f>249.6*1.05</f>
        <v>262.08</v>
      </c>
      <c r="E455" s="14">
        <f t="shared" si="28"/>
        <v>52.42</v>
      </c>
      <c r="F455" s="97">
        <f t="shared" si="29"/>
        <v>314.5</v>
      </c>
      <c r="G455" s="412"/>
      <c r="H455" s="2"/>
      <c r="I455" s="34"/>
      <c r="J455" s="2"/>
      <c r="K455" s="326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89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89"/>
      <c r="BJ455" s="305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</row>
    <row r="456" spans="1:113" s="41" customFormat="1" ht="30" customHeight="1" x14ac:dyDescent="0.2">
      <c r="A456" s="404" t="s">
        <v>644</v>
      </c>
      <c r="B456" s="381" t="s">
        <v>687</v>
      </c>
      <c r="C456" s="384" t="s">
        <v>228</v>
      </c>
      <c r="D456" s="13">
        <f>76.34*1.05</f>
        <v>80.16</v>
      </c>
      <c r="E456" s="14">
        <f t="shared" si="28"/>
        <v>16.03</v>
      </c>
      <c r="F456" s="97">
        <f t="shared" si="29"/>
        <v>96.19</v>
      </c>
      <c r="G456" s="412"/>
      <c r="H456" s="2"/>
      <c r="I456" s="34"/>
      <c r="J456" s="2"/>
      <c r="K456" s="326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89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89"/>
      <c r="BJ456" s="305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</row>
    <row r="457" spans="1:113" s="41" customFormat="1" ht="24" customHeight="1" x14ac:dyDescent="0.2">
      <c r="A457" s="404" t="s">
        <v>646</v>
      </c>
      <c r="B457" s="381" t="s">
        <v>689</v>
      </c>
      <c r="C457" s="384" t="s">
        <v>228</v>
      </c>
      <c r="D457" s="13">
        <f>21.23*1.05</f>
        <v>22.29</v>
      </c>
      <c r="E457" s="14">
        <f t="shared" si="28"/>
        <v>4.46</v>
      </c>
      <c r="F457" s="97">
        <f t="shared" si="29"/>
        <v>26.75</v>
      </c>
      <c r="G457" s="412"/>
      <c r="H457" s="2"/>
      <c r="I457" s="34"/>
      <c r="J457" s="2"/>
      <c r="K457" s="326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89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89"/>
      <c r="BJ457" s="305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</row>
    <row r="458" spans="1:113" s="41" customFormat="1" ht="32.25" customHeight="1" x14ac:dyDescent="0.2">
      <c r="A458" s="404" t="s">
        <v>648</v>
      </c>
      <c r="B458" s="381" t="s">
        <v>691</v>
      </c>
      <c r="C458" s="384" t="s">
        <v>228</v>
      </c>
      <c r="D458" s="13">
        <f>21.23*1.05</f>
        <v>22.29</v>
      </c>
      <c r="E458" s="14">
        <f t="shared" si="28"/>
        <v>4.46</v>
      </c>
      <c r="F458" s="97">
        <f t="shared" si="29"/>
        <v>26.75</v>
      </c>
      <c r="G458" s="412"/>
      <c r="H458" s="2"/>
      <c r="I458" s="34"/>
      <c r="J458" s="2"/>
      <c r="K458" s="326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89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89"/>
      <c r="BJ458" s="305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</row>
    <row r="459" spans="1:113" s="41" customFormat="1" ht="25.5" customHeight="1" x14ac:dyDescent="0.2">
      <c r="A459" s="404" t="s">
        <v>1560</v>
      </c>
      <c r="B459" s="381" t="s">
        <v>693</v>
      </c>
      <c r="C459" s="384" t="s">
        <v>228</v>
      </c>
      <c r="D459" s="13">
        <f>92.74*1.05</f>
        <v>97.38</v>
      </c>
      <c r="E459" s="14">
        <f t="shared" si="28"/>
        <v>19.48</v>
      </c>
      <c r="F459" s="97">
        <f t="shared" si="29"/>
        <v>116.86</v>
      </c>
      <c r="G459" s="412"/>
      <c r="H459" s="2"/>
      <c r="I459" s="34"/>
      <c r="J459" s="2"/>
      <c r="K459" s="326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89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89"/>
      <c r="BJ459" s="305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</row>
    <row r="460" spans="1:113" s="41" customFormat="1" ht="33.75" customHeight="1" x14ac:dyDescent="0.2">
      <c r="A460" s="404" t="s">
        <v>2058</v>
      </c>
      <c r="B460" s="381" t="s">
        <v>695</v>
      </c>
      <c r="C460" s="384" t="s">
        <v>228</v>
      </c>
      <c r="D460" s="13">
        <f>243.43*1.05</f>
        <v>255.6</v>
      </c>
      <c r="E460" s="14">
        <f t="shared" si="28"/>
        <v>51.12</v>
      </c>
      <c r="F460" s="97">
        <f t="shared" si="29"/>
        <v>306.72000000000003</v>
      </c>
      <c r="G460" s="412"/>
      <c r="H460" s="2"/>
      <c r="I460" s="34"/>
      <c r="J460" s="2"/>
      <c r="K460" s="326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89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89"/>
      <c r="BJ460" s="305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</row>
    <row r="461" spans="1:113" s="41" customFormat="1" ht="33.75" customHeight="1" x14ac:dyDescent="0.2">
      <c r="A461" s="404" t="s">
        <v>2059</v>
      </c>
      <c r="B461" s="381" t="s">
        <v>697</v>
      </c>
      <c r="C461" s="384" t="s">
        <v>228</v>
      </c>
      <c r="D461" s="13">
        <f>100.88*1.05</f>
        <v>105.92</v>
      </c>
      <c r="E461" s="14">
        <f t="shared" si="28"/>
        <v>21.18</v>
      </c>
      <c r="F461" s="97">
        <f t="shared" si="29"/>
        <v>127.1</v>
      </c>
      <c r="G461" s="412"/>
      <c r="H461" s="2"/>
      <c r="I461" s="34"/>
      <c r="J461" s="2"/>
      <c r="K461" s="326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89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89"/>
      <c r="BJ461" s="305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</row>
    <row r="462" spans="1:113" s="41" customFormat="1" ht="26.25" customHeight="1" x14ac:dyDescent="0.2">
      <c r="A462" s="404" t="s">
        <v>2060</v>
      </c>
      <c r="B462" s="381" t="s">
        <v>699</v>
      </c>
      <c r="C462" s="384" t="s">
        <v>228</v>
      </c>
      <c r="D462" s="13">
        <f>15.36*1.05</f>
        <v>16.13</v>
      </c>
      <c r="E462" s="14">
        <f t="shared" si="28"/>
        <v>3.23</v>
      </c>
      <c r="F462" s="97">
        <f>D462+E462</f>
        <v>19.36</v>
      </c>
      <c r="G462" s="412"/>
      <c r="H462" s="2"/>
      <c r="I462" s="34"/>
      <c r="J462" s="2"/>
      <c r="K462" s="326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89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89"/>
      <c r="BJ462" s="305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</row>
    <row r="463" spans="1:113" s="41" customFormat="1" ht="26.25" customHeight="1" x14ac:dyDescent="0.2">
      <c r="A463" s="404" t="s">
        <v>2061</v>
      </c>
      <c r="B463" s="381" t="s">
        <v>701</v>
      </c>
      <c r="C463" s="384" t="s">
        <v>228</v>
      </c>
      <c r="D463" s="13">
        <f>19.49*1.05</f>
        <v>20.46</v>
      </c>
      <c r="E463" s="14">
        <f t="shared" si="28"/>
        <v>4.09</v>
      </c>
      <c r="F463" s="97">
        <f t="shared" si="29"/>
        <v>24.55</v>
      </c>
      <c r="G463" s="412"/>
      <c r="H463" s="2"/>
      <c r="I463" s="34"/>
      <c r="J463" s="2"/>
      <c r="K463" s="326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89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89"/>
      <c r="BJ463" s="305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</row>
    <row r="464" spans="1:113" s="41" customFormat="1" ht="26.25" customHeight="1" x14ac:dyDescent="0.2">
      <c r="A464" s="404" t="s">
        <v>2062</v>
      </c>
      <c r="B464" s="381" t="s">
        <v>703</v>
      </c>
      <c r="C464" s="384" t="s">
        <v>228</v>
      </c>
      <c r="D464" s="13">
        <f>72.24*1.05</f>
        <v>75.849999999999994</v>
      </c>
      <c r="E464" s="14">
        <f t="shared" si="28"/>
        <v>15.17</v>
      </c>
      <c r="F464" s="97">
        <f t="shared" si="29"/>
        <v>91.02</v>
      </c>
      <c r="G464" s="412"/>
      <c r="H464" s="2"/>
      <c r="I464" s="34"/>
      <c r="J464" s="2"/>
      <c r="K464" s="326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89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89"/>
      <c r="BJ464" s="305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</row>
    <row r="465" spans="1:113" s="41" customFormat="1" ht="27" customHeight="1" x14ac:dyDescent="0.2">
      <c r="A465" s="108" t="s">
        <v>35</v>
      </c>
      <c r="B465" s="429" t="s">
        <v>704</v>
      </c>
      <c r="C465" s="429"/>
      <c r="D465" s="429"/>
      <c r="E465" s="429"/>
      <c r="F465" s="429"/>
      <c r="G465" s="412"/>
      <c r="H465" s="2"/>
      <c r="I465" s="34"/>
      <c r="J465" s="2"/>
      <c r="K465" s="326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89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89"/>
      <c r="BJ465" s="305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</row>
    <row r="466" spans="1:113" s="41" customFormat="1" ht="45" customHeight="1" x14ac:dyDescent="0.2">
      <c r="A466" s="404" t="s">
        <v>259</v>
      </c>
      <c r="B466" s="397" t="s">
        <v>564</v>
      </c>
      <c r="C466" s="384" t="s">
        <v>228</v>
      </c>
      <c r="D466" s="13">
        <f>76.15*1.05</f>
        <v>79.959999999999994</v>
      </c>
      <c r="E466" s="14">
        <f>D466*20%</f>
        <v>15.99</v>
      </c>
      <c r="F466" s="97">
        <f>D466+E466</f>
        <v>95.95</v>
      </c>
      <c r="G466" s="412"/>
      <c r="H466" s="2"/>
      <c r="I466" s="34"/>
      <c r="J466" s="2"/>
      <c r="K466" s="326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89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89"/>
      <c r="BJ466" s="305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</row>
    <row r="467" spans="1:113" s="41" customFormat="1" ht="21.75" customHeight="1" x14ac:dyDescent="0.2">
      <c r="A467" s="404"/>
      <c r="B467" s="430" t="s">
        <v>529</v>
      </c>
      <c r="C467" s="430"/>
      <c r="D467" s="430"/>
      <c r="E467" s="430"/>
      <c r="F467" s="430"/>
      <c r="G467" s="412"/>
      <c r="H467" s="2"/>
      <c r="I467" s="34"/>
      <c r="J467" s="2"/>
      <c r="K467" s="326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89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89"/>
      <c r="BJ467" s="305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</row>
    <row r="468" spans="1:113" s="41" customFormat="1" ht="23.25" customHeight="1" x14ac:dyDescent="0.2">
      <c r="A468" s="404" t="s">
        <v>261</v>
      </c>
      <c r="B468" s="381" t="s">
        <v>707</v>
      </c>
      <c r="C468" s="384" t="s">
        <v>228</v>
      </c>
      <c r="D468" s="13">
        <f>178.64*1.05</f>
        <v>187.57</v>
      </c>
      <c r="E468" s="14">
        <f>D468*20%</f>
        <v>37.51</v>
      </c>
      <c r="F468" s="97">
        <f>D468+E468</f>
        <v>225.08</v>
      </c>
      <c r="G468" s="412"/>
      <c r="H468" s="2"/>
      <c r="I468" s="34"/>
      <c r="J468" s="2"/>
      <c r="K468" s="326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89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89"/>
      <c r="BJ468" s="305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</row>
    <row r="469" spans="1:113" s="41" customFormat="1" ht="48" customHeight="1" x14ac:dyDescent="0.2">
      <c r="A469" s="404" t="s">
        <v>652</v>
      </c>
      <c r="B469" s="381" t="s">
        <v>709</v>
      </c>
      <c r="C469" s="384" t="s">
        <v>228</v>
      </c>
      <c r="D469" s="13">
        <f>106.71*1.05</f>
        <v>112.05</v>
      </c>
      <c r="E469" s="14">
        <f>D469*20%</f>
        <v>22.41</v>
      </c>
      <c r="F469" s="97">
        <f>D469+E469</f>
        <v>134.46</v>
      </c>
      <c r="G469" s="412"/>
      <c r="H469" s="2"/>
      <c r="I469" s="34"/>
      <c r="J469" s="2"/>
      <c r="K469" s="326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89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89"/>
      <c r="BJ469" s="305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</row>
    <row r="470" spans="1:113" s="41" customFormat="1" ht="19.5" customHeight="1" x14ac:dyDescent="0.2">
      <c r="A470" s="2"/>
      <c r="B470" s="2"/>
      <c r="C470" s="2"/>
      <c r="D470" s="2"/>
      <c r="E470" s="2"/>
      <c r="F470" s="2"/>
      <c r="G470" s="412"/>
      <c r="H470" s="2"/>
      <c r="I470" s="34"/>
      <c r="J470" s="2"/>
      <c r="K470" s="326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89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89"/>
      <c r="BJ470" s="305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</row>
    <row r="471" spans="1:113" s="41" customFormat="1" ht="24.75" customHeight="1" x14ac:dyDescent="0.2">
      <c r="A471" s="395" t="s">
        <v>37</v>
      </c>
      <c r="B471" s="450" t="s">
        <v>845</v>
      </c>
      <c r="C471" s="450"/>
      <c r="D471" s="450"/>
      <c r="E471" s="450"/>
      <c r="F471" s="450"/>
      <c r="G471" s="412"/>
      <c r="H471" s="2"/>
      <c r="I471" s="34"/>
      <c r="J471" s="2"/>
      <c r="K471" s="326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89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89"/>
      <c r="BJ471" s="305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</row>
    <row r="472" spans="1:113" s="41" customFormat="1" ht="46.5" customHeight="1" x14ac:dyDescent="0.2">
      <c r="A472" s="404" t="s">
        <v>679</v>
      </c>
      <c r="B472" s="381" t="s">
        <v>847</v>
      </c>
      <c r="C472" s="384" t="s">
        <v>228</v>
      </c>
      <c r="D472" s="13">
        <f>209.9*1.05</f>
        <v>220.4</v>
      </c>
      <c r="E472" s="14">
        <f t="shared" ref="E472:E477" si="30">D472*20%</f>
        <v>44.08</v>
      </c>
      <c r="F472" s="97">
        <f t="shared" ref="F472:F477" si="31">D472+E472</f>
        <v>264.48</v>
      </c>
      <c r="G472" s="412"/>
      <c r="H472" s="2"/>
      <c r="I472" s="34"/>
      <c r="J472" s="2"/>
      <c r="K472" s="326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89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89"/>
      <c r="BJ472" s="305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</row>
    <row r="473" spans="1:113" s="41" customFormat="1" ht="31.5" customHeight="1" x14ac:dyDescent="0.2">
      <c r="A473" s="404" t="s">
        <v>680</v>
      </c>
      <c r="B473" s="381" t="s">
        <v>848</v>
      </c>
      <c r="C473" s="384" t="s">
        <v>228</v>
      </c>
      <c r="D473" s="13">
        <f>222.49*1.05</f>
        <v>233.61</v>
      </c>
      <c r="E473" s="14">
        <f t="shared" si="30"/>
        <v>46.72</v>
      </c>
      <c r="F473" s="97">
        <f t="shared" si="31"/>
        <v>280.33</v>
      </c>
      <c r="G473" s="412"/>
      <c r="H473" s="2"/>
      <c r="I473" s="34"/>
      <c r="J473" s="2"/>
      <c r="K473" s="326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89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89"/>
      <c r="BJ473" s="305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</row>
    <row r="474" spans="1:113" s="41" customFormat="1" ht="44.25" customHeight="1" x14ac:dyDescent="0.2">
      <c r="A474" s="404" t="s">
        <v>682</v>
      </c>
      <c r="B474" s="381" t="s">
        <v>849</v>
      </c>
      <c r="C474" s="384" t="s">
        <v>228</v>
      </c>
      <c r="D474" s="13">
        <f>244.04*1.05</f>
        <v>256.24</v>
      </c>
      <c r="E474" s="14">
        <f t="shared" si="30"/>
        <v>51.25</v>
      </c>
      <c r="F474" s="97">
        <f t="shared" si="31"/>
        <v>307.49</v>
      </c>
      <c r="G474" s="412"/>
      <c r="H474" s="2"/>
      <c r="I474" s="34"/>
      <c r="J474" s="2"/>
      <c r="K474" s="326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89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89"/>
      <c r="BJ474" s="305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</row>
    <row r="475" spans="1:113" s="41" customFormat="1" ht="26.25" customHeight="1" x14ac:dyDescent="0.2">
      <c r="A475" s="404" t="s">
        <v>684</v>
      </c>
      <c r="B475" s="381" t="s">
        <v>850</v>
      </c>
      <c r="C475" s="384" t="s">
        <v>228</v>
      </c>
      <c r="D475" s="13">
        <f>147.6*1.05</f>
        <v>154.97999999999999</v>
      </c>
      <c r="E475" s="14">
        <f t="shared" si="30"/>
        <v>31</v>
      </c>
      <c r="F475" s="97">
        <f>D475+E475</f>
        <v>185.98</v>
      </c>
      <c r="G475" s="412"/>
      <c r="H475" s="2"/>
      <c r="I475" s="34"/>
      <c r="J475" s="2"/>
      <c r="K475" s="326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89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89"/>
      <c r="BJ475" s="305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</row>
    <row r="476" spans="1:113" s="41" customFormat="1" ht="49.5" customHeight="1" x14ac:dyDescent="0.2">
      <c r="A476" s="404" t="s">
        <v>686</v>
      </c>
      <c r="B476" s="381" t="s">
        <v>851</v>
      </c>
      <c r="C476" s="384" t="s">
        <v>228</v>
      </c>
      <c r="D476" s="13">
        <f>93.81*1.05</f>
        <v>98.5</v>
      </c>
      <c r="E476" s="14">
        <f t="shared" si="30"/>
        <v>19.7</v>
      </c>
      <c r="F476" s="97">
        <f>D476+E476</f>
        <v>118.2</v>
      </c>
      <c r="G476" s="412"/>
      <c r="H476" s="2"/>
      <c r="I476" s="34"/>
      <c r="J476" s="2"/>
      <c r="K476" s="326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89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89"/>
      <c r="BJ476" s="305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</row>
    <row r="477" spans="1:113" s="41" customFormat="1" ht="42" customHeight="1" x14ac:dyDescent="0.2">
      <c r="A477" s="404" t="s">
        <v>688</v>
      </c>
      <c r="B477" s="381" t="s">
        <v>852</v>
      </c>
      <c r="C477" s="384" t="s">
        <v>228</v>
      </c>
      <c r="D477" s="13">
        <f>161.2*1.05</f>
        <v>169.26</v>
      </c>
      <c r="E477" s="14">
        <f t="shared" si="30"/>
        <v>33.85</v>
      </c>
      <c r="F477" s="97">
        <f t="shared" si="31"/>
        <v>203.11</v>
      </c>
      <c r="G477" s="412"/>
      <c r="H477" s="2"/>
      <c r="I477" s="34"/>
      <c r="J477" s="2"/>
      <c r="K477" s="326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89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89"/>
      <c r="BJ477" s="305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</row>
    <row r="478" spans="1:113" s="15" customFormat="1" ht="21.75" customHeight="1" x14ac:dyDescent="0.2">
      <c r="A478" s="393"/>
      <c r="B478" s="393"/>
      <c r="C478" s="393"/>
      <c r="D478" s="393"/>
      <c r="E478" s="393"/>
      <c r="F478" s="393"/>
      <c r="G478" s="412"/>
      <c r="H478" s="2"/>
      <c r="I478" s="34"/>
      <c r="J478" s="2"/>
      <c r="K478" s="326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89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89"/>
      <c r="BJ478" s="305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</row>
    <row r="479" spans="1:113" s="15" customFormat="1" ht="35.25" customHeight="1" x14ac:dyDescent="0.2">
      <c r="A479" s="420" t="s">
        <v>2057</v>
      </c>
      <c r="B479" s="420"/>
      <c r="C479" s="420"/>
      <c r="D479" s="420"/>
      <c r="E479" s="420"/>
      <c r="F479" s="420"/>
      <c r="G479" s="412"/>
      <c r="H479" s="2"/>
      <c r="I479" s="34"/>
      <c r="J479" s="2"/>
      <c r="K479" s="326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89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89"/>
      <c r="BJ479" s="305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</row>
    <row r="480" spans="1:113" s="15" customFormat="1" ht="66" customHeight="1" x14ac:dyDescent="0.2">
      <c r="A480" s="396" t="s">
        <v>6</v>
      </c>
      <c r="B480" s="386" t="s">
        <v>194</v>
      </c>
      <c r="C480" s="386" t="s">
        <v>9</v>
      </c>
      <c r="D480" s="386" t="s">
        <v>10</v>
      </c>
      <c r="E480" s="8" t="s">
        <v>11</v>
      </c>
      <c r="F480" s="386" t="s">
        <v>12</v>
      </c>
      <c r="G480" s="412"/>
      <c r="H480" s="2"/>
      <c r="I480" s="34"/>
      <c r="J480" s="2"/>
      <c r="K480" s="326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89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89"/>
      <c r="BJ480" s="305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</row>
    <row r="481" spans="1:113" s="15" customFormat="1" ht="19.5" customHeight="1" x14ac:dyDescent="0.2">
      <c r="A481" s="396" t="s">
        <v>195</v>
      </c>
      <c r="B481" s="386" t="s">
        <v>196</v>
      </c>
      <c r="C481" s="386" t="s">
        <v>197</v>
      </c>
      <c r="D481" s="386" t="s">
        <v>198</v>
      </c>
      <c r="E481" s="407">
        <v>5</v>
      </c>
      <c r="F481" s="407">
        <v>6</v>
      </c>
      <c r="G481" s="412"/>
      <c r="H481" s="2"/>
      <c r="I481" s="34"/>
      <c r="J481" s="2"/>
      <c r="K481" s="326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89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89"/>
      <c r="BJ481" s="305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</row>
    <row r="482" spans="1:113" s="15" customFormat="1" ht="32.25" customHeight="1" x14ac:dyDescent="0.2">
      <c r="A482" s="447" t="s">
        <v>233</v>
      </c>
      <c r="B482" s="447"/>
      <c r="C482" s="447"/>
      <c r="D482" s="447"/>
      <c r="E482" s="447"/>
      <c r="F482" s="447"/>
      <c r="G482" s="412"/>
      <c r="H482" s="2"/>
      <c r="I482" s="34"/>
      <c r="J482" s="2"/>
      <c r="K482" s="326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89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89"/>
      <c r="BJ482" s="305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</row>
    <row r="483" spans="1:113" s="15" customFormat="1" ht="21.75" customHeight="1" x14ac:dyDescent="0.2">
      <c r="A483" s="458" t="s">
        <v>234</v>
      </c>
      <c r="B483" s="458"/>
      <c r="C483" s="458"/>
      <c r="D483" s="458"/>
      <c r="E483" s="458"/>
      <c r="F483" s="458"/>
      <c r="G483" s="412"/>
      <c r="H483" s="2"/>
      <c r="I483" s="34"/>
      <c r="J483" s="2"/>
      <c r="K483" s="326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89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89"/>
      <c r="BJ483" s="305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</row>
    <row r="484" spans="1:113" s="15" customFormat="1" ht="37.5" customHeight="1" x14ac:dyDescent="0.2">
      <c r="A484" s="250" t="s">
        <v>195</v>
      </c>
      <c r="B484" s="381" t="s">
        <v>235</v>
      </c>
      <c r="C484" s="384" t="s">
        <v>228</v>
      </c>
      <c r="D484" s="13">
        <f>300.58*1.05</f>
        <v>315.61</v>
      </c>
      <c r="E484" s="14">
        <f>D484*20%</f>
        <v>63.12</v>
      </c>
      <c r="F484" s="97">
        <f>D484+E484</f>
        <v>378.73</v>
      </c>
      <c r="G484" s="412"/>
      <c r="H484" s="2"/>
      <c r="I484" s="34"/>
      <c r="J484" s="2"/>
      <c r="K484" s="326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89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89"/>
      <c r="BJ484" s="305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</row>
    <row r="485" spans="1:113" s="15" customFormat="1" ht="36" customHeight="1" x14ac:dyDescent="0.2">
      <c r="A485" s="250" t="s">
        <v>196</v>
      </c>
      <c r="B485" s="98" t="s">
        <v>237</v>
      </c>
      <c r="C485" s="384" t="s">
        <v>228</v>
      </c>
      <c r="D485" s="13">
        <f>376.47*1.05</f>
        <v>395.29</v>
      </c>
      <c r="E485" s="14">
        <f>D485*20%</f>
        <v>79.06</v>
      </c>
      <c r="F485" s="97">
        <f>D485+E485</f>
        <v>474.35</v>
      </c>
      <c r="G485" s="412"/>
      <c r="H485" s="2"/>
      <c r="I485" s="34"/>
      <c r="J485" s="2"/>
      <c r="K485" s="326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89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89"/>
      <c r="BJ485" s="305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</row>
    <row r="486" spans="1:113" s="15" customFormat="1" ht="27" customHeight="1" x14ac:dyDescent="0.2">
      <c r="A486" s="250" t="s">
        <v>197</v>
      </c>
      <c r="B486" s="437" t="s">
        <v>238</v>
      </c>
      <c r="C486" s="437"/>
      <c r="D486" s="437"/>
      <c r="E486" s="437"/>
      <c r="F486" s="437"/>
      <c r="G486" s="412"/>
      <c r="H486" s="2"/>
      <c r="I486" s="34"/>
      <c r="J486" s="2"/>
      <c r="K486" s="326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89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89"/>
      <c r="BJ486" s="305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</row>
    <row r="487" spans="1:113" s="15" customFormat="1" ht="23.25" customHeight="1" x14ac:dyDescent="0.2">
      <c r="A487" s="250" t="s">
        <v>239</v>
      </c>
      <c r="B487" s="381" t="s">
        <v>240</v>
      </c>
      <c r="C487" s="384" t="s">
        <v>228</v>
      </c>
      <c r="D487" s="13">
        <f t="shared" ref="D487:D494" si="32">593.17*1.05</f>
        <v>622.83000000000004</v>
      </c>
      <c r="E487" s="14">
        <f t="shared" ref="E487:E495" si="33">D487*20%</f>
        <v>124.57</v>
      </c>
      <c r="F487" s="97">
        <f t="shared" ref="F487:F496" si="34">D487+E487</f>
        <v>747.4</v>
      </c>
      <c r="G487" s="412"/>
      <c r="H487" s="2"/>
      <c r="I487" s="34"/>
      <c r="J487" s="2"/>
      <c r="K487" s="326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89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89"/>
      <c r="BJ487" s="305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</row>
    <row r="488" spans="1:113" s="15" customFormat="1" ht="20.25" customHeight="1" x14ac:dyDescent="0.2">
      <c r="A488" s="250" t="s">
        <v>241</v>
      </c>
      <c r="B488" s="381" t="s">
        <v>242</v>
      </c>
      <c r="C488" s="384" t="s">
        <v>228</v>
      </c>
      <c r="D488" s="13">
        <f t="shared" si="32"/>
        <v>622.83000000000004</v>
      </c>
      <c r="E488" s="14">
        <f t="shared" si="33"/>
        <v>124.57</v>
      </c>
      <c r="F488" s="97">
        <f t="shared" si="34"/>
        <v>747.4</v>
      </c>
      <c r="G488" s="412"/>
      <c r="H488" s="2"/>
      <c r="I488" s="34"/>
      <c r="J488" s="2"/>
      <c r="K488" s="326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89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89"/>
      <c r="BJ488" s="305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</row>
    <row r="489" spans="1:113" s="15" customFormat="1" ht="17.25" customHeight="1" x14ac:dyDescent="0.2">
      <c r="A489" s="250" t="s">
        <v>243</v>
      </c>
      <c r="B489" s="381" t="s">
        <v>244</v>
      </c>
      <c r="C489" s="384" t="s">
        <v>228</v>
      </c>
      <c r="D489" s="13">
        <f t="shared" si="32"/>
        <v>622.83000000000004</v>
      </c>
      <c r="E489" s="14">
        <f t="shared" si="33"/>
        <v>124.57</v>
      </c>
      <c r="F489" s="97">
        <f t="shared" si="34"/>
        <v>747.4</v>
      </c>
      <c r="G489" s="412"/>
      <c r="H489" s="2"/>
      <c r="I489" s="34"/>
      <c r="J489" s="2"/>
      <c r="K489" s="326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89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89"/>
      <c r="BJ489" s="305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</row>
    <row r="490" spans="1:113" s="15" customFormat="1" ht="20.25" customHeight="1" x14ac:dyDescent="0.2">
      <c r="A490" s="250" t="s">
        <v>245</v>
      </c>
      <c r="B490" s="381" t="s">
        <v>246</v>
      </c>
      <c r="C490" s="384" t="s">
        <v>228</v>
      </c>
      <c r="D490" s="13">
        <f t="shared" si="32"/>
        <v>622.83000000000004</v>
      </c>
      <c r="E490" s="14">
        <f t="shared" si="33"/>
        <v>124.57</v>
      </c>
      <c r="F490" s="97">
        <f t="shared" si="34"/>
        <v>747.4</v>
      </c>
      <c r="G490" s="412"/>
      <c r="H490" s="2"/>
      <c r="I490" s="34"/>
      <c r="J490" s="2"/>
      <c r="K490" s="326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89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89"/>
      <c r="BJ490" s="305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</row>
    <row r="491" spans="1:113" s="15" customFormat="1" ht="19.5" customHeight="1" x14ac:dyDescent="0.2">
      <c r="A491" s="250" t="s">
        <v>247</v>
      </c>
      <c r="B491" s="381" t="s">
        <v>248</v>
      </c>
      <c r="C491" s="384" t="s">
        <v>228</v>
      </c>
      <c r="D491" s="13">
        <f t="shared" si="32"/>
        <v>622.83000000000004</v>
      </c>
      <c r="E491" s="14">
        <f t="shared" si="33"/>
        <v>124.57</v>
      </c>
      <c r="F491" s="97">
        <f t="shared" si="34"/>
        <v>747.4</v>
      </c>
      <c r="G491" s="412"/>
      <c r="H491" s="2"/>
      <c r="I491" s="34"/>
      <c r="J491" s="2"/>
      <c r="K491" s="326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89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89"/>
      <c r="BJ491" s="305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</row>
    <row r="492" spans="1:113" s="15" customFormat="1" ht="23.25" customHeight="1" x14ac:dyDescent="0.2">
      <c r="A492" s="250" t="s">
        <v>249</v>
      </c>
      <c r="B492" s="381" t="s">
        <v>250</v>
      </c>
      <c r="C492" s="384" t="s">
        <v>228</v>
      </c>
      <c r="D492" s="13">
        <f t="shared" si="32"/>
        <v>622.83000000000004</v>
      </c>
      <c r="E492" s="14">
        <f t="shared" si="33"/>
        <v>124.57</v>
      </c>
      <c r="F492" s="97">
        <f t="shared" si="34"/>
        <v>747.4</v>
      </c>
      <c r="G492" s="412"/>
      <c r="H492" s="2"/>
      <c r="I492" s="34"/>
      <c r="J492" s="2"/>
      <c r="K492" s="326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89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89"/>
      <c r="BJ492" s="305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</row>
    <row r="493" spans="1:113" s="15" customFormat="1" ht="21" customHeight="1" x14ac:dyDescent="0.2">
      <c r="A493" s="250" t="s">
        <v>251</v>
      </c>
      <c r="B493" s="381" t="s">
        <v>252</v>
      </c>
      <c r="C493" s="384" t="s">
        <v>228</v>
      </c>
      <c r="D493" s="13">
        <f t="shared" si="32"/>
        <v>622.83000000000004</v>
      </c>
      <c r="E493" s="14">
        <f t="shared" si="33"/>
        <v>124.57</v>
      </c>
      <c r="F493" s="97">
        <f t="shared" si="34"/>
        <v>747.4</v>
      </c>
      <c r="G493" s="412"/>
      <c r="H493" s="2"/>
      <c r="I493" s="34"/>
      <c r="J493" s="2"/>
      <c r="K493" s="326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89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89"/>
      <c r="BJ493" s="305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</row>
    <row r="494" spans="1:113" s="15" customFormat="1" ht="21" customHeight="1" x14ac:dyDescent="0.2">
      <c r="A494" s="250" t="s">
        <v>253</v>
      </c>
      <c r="B494" s="381" t="s">
        <v>254</v>
      </c>
      <c r="C494" s="384" t="s">
        <v>228</v>
      </c>
      <c r="D494" s="13">
        <f t="shared" si="32"/>
        <v>622.83000000000004</v>
      </c>
      <c r="E494" s="14">
        <f>D494*20%</f>
        <v>124.57</v>
      </c>
      <c r="F494" s="97">
        <f>D494+E494</f>
        <v>747.4</v>
      </c>
      <c r="G494" s="412"/>
      <c r="H494" s="2"/>
      <c r="I494" s="34"/>
      <c r="J494" s="2"/>
      <c r="K494" s="326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89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89"/>
      <c r="BJ494" s="305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</row>
    <row r="495" spans="1:113" s="15" customFormat="1" ht="30.75" customHeight="1" x14ac:dyDescent="0.2">
      <c r="A495" s="250" t="s">
        <v>198</v>
      </c>
      <c r="B495" s="381" t="s">
        <v>255</v>
      </c>
      <c r="C495" s="384" t="s">
        <v>228</v>
      </c>
      <c r="D495" s="13">
        <f>402.78*1.05</f>
        <v>422.92</v>
      </c>
      <c r="E495" s="14">
        <f t="shared" si="33"/>
        <v>84.58</v>
      </c>
      <c r="F495" s="97">
        <f t="shared" si="34"/>
        <v>507.5</v>
      </c>
      <c r="G495" s="412"/>
      <c r="H495" s="2"/>
      <c r="I495" s="34"/>
      <c r="J495" s="2"/>
      <c r="K495" s="326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89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89"/>
      <c r="BJ495" s="305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</row>
    <row r="496" spans="1:113" s="15" customFormat="1" ht="35.25" customHeight="1" x14ac:dyDescent="0.2">
      <c r="A496" s="250" t="s">
        <v>225</v>
      </c>
      <c r="B496" s="381" t="s">
        <v>256</v>
      </c>
      <c r="C496" s="384" t="s">
        <v>228</v>
      </c>
      <c r="D496" s="13">
        <f>301.24*1.05</f>
        <v>316.3</v>
      </c>
      <c r="E496" s="14">
        <f>D496*20%</f>
        <v>63.26</v>
      </c>
      <c r="F496" s="97">
        <f t="shared" si="34"/>
        <v>379.56</v>
      </c>
      <c r="G496" s="412"/>
      <c r="H496" s="2"/>
      <c r="I496" s="34"/>
      <c r="J496" s="2"/>
      <c r="K496" s="326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89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89"/>
      <c r="BJ496" s="305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</row>
    <row r="497" spans="1:113" s="15" customFormat="1" ht="29.25" customHeight="1" x14ac:dyDescent="0.2">
      <c r="A497" s="396" t="s">
        <v>257</v>
      </c>
      <c r="B497" s="437" t="s">
        <v>258</v>
      </c>
      <c r="C497" s="437"/>
      <c r="D497" s="437"/>
      <c r="E497" s="437"/>
      <c r="F497" s="437"/>
      <c r="G497" s="412"/>
      <c r="H497" s="2"/>
      <c r="I497" s="34"/>
      <c r="J497" s="2"/>
      <c r="K497" s="326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89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89"/>
      <c r="BJ497" s="305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</row>
    <row r="498" spans="1:113" s="15" customFormat="1" ht="25.5" customHeight="1" x14ac:dyDescent="0.2">
      <c r="A498" s="250" t="s">
        <v>259</v>
      </c>
      <c r="B498" s="381" t="s">
        <v>260</v>
      </c>
      <c r="C498" s="384" t="s">
        <v>228</v>
      </c>
      <c r="D498" s="13">
        <f>1146.02*1.05</f>
        <v>1203.32</v>
      </c>
      <c r="E498" s="14">
        <f t="shared" ref="E498:E504" si="35">D498*20%</f>
        <v>240.66</v>
      </c>
      <c r="F498" s="97">
        <f t="shared" ref="F498:F503" si="36">D498+E498</f>
        <v>1443.98</v>
      </c>
      <c r="G498" s="412"/>
      <c r="H498" s="2"/>
      <c r="I498" s="34"/>
      <c r="J498" s="2"/>
      <c r="K498" s="326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89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89"/>
      <c r="BJ498" s="305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</row>
    <row r="499" spans="1:113" s="15" customFormat="1" ht="21.75" customHeight="1" x14ac:dyDescent="0.2">
      <c r="A499" s="250" t="s">
        <v>261</v>
      </c>
      <c r="B499" s="381" t="s">
        <v>262</v>
      </c>
      <c r="C499" s="384" t="s">
        <v>228</v>
      </c>
      <c r="D499" s="13">
        <f>1146.02*1.05</f>
        <v>1203.32</v>
      </c>
      <c r="E499" s="14">
        <f t="shared" si="35"/>
        <v>240.66</v>
      </c>
      <c r="F499" s="97">
        <f t="shared" si="36"/>
        <v>1443.98</v>
      </c>
      <c r="G499" s="412"/>
      <c r="H499" s="2"/>
      <c r="I499" s="34"/>
      <c r="J499" s="2"/>
      <c r="K499" s="326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89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89"/>
      <c r="BJ499" s="305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</row>
    <row r="500" spans="1:113" s="15" customFormat="1" ht="21.75" customHeight="1" x14ac:dyDescent="0.2">
      <c r="A500" s="250" t="s">
        <v>263</v>
      </c>
      <c r="B500" s="381" t="s">
        <v>264</v>
      </c>
      <c r="C500" s="384" t="s">
        <v>228</v>
      </c>
      <c r="D500" s="13">
        <f>1146.02*1.05</f>
        <v>1203.32</v>
      </c>
      <c r="E500" s="14">
        <f t="shared" si="35"/>
        <v>240.66</v>
      </c>
      <c r="F500" s="97">
        <f t="shared" si="36"/>
        <v>1443.98</v>
      </c>
      <c r="G500" s="412"/>
      <c r="H500" s="2"/>
      <c r="I500" s="34"/>
      <c r="J500" s="2"/>
      <c r="K500" s="326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89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89"/>
      <c r="BJ500" s="305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</row>
    <row r="501" spans="1:113" s="15" customFormat="1" ht="18.75" customHeight="1" x14ac:dyDescent="0.2">
      <c r="A501" s="250" t="s">
        <v>265</v>
      </c>
      <c r="B501" s="381" t="s">
        <v>266</v>
      </c>
      <c r="C501" s="384" t="s">
        <v>228</v>
      </c>
      <c r="D501" s="13">
        <f>1251.31*1.05</f>
        <v>1313.88</v>
      </c>
      <c r="E501" s="14">
        <f t="shared" si="35"/>
        <v>262.77999999999997</v>
      </c>
      <c r="F501" s="97">
        <f t="shared" si="36"/>
        <v>1576.66</v>
      </c>
      <c r="G501" s="412"/>
      <c r="H501" s="2"/>
      <c r="I501" s="34"/>
      <c r="J501" s="2"/>
      <c r="K501" s="326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89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89"/>
      <c r="BJ501" s="305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</row>
    <row r="502" spans="1:113" s="15" customFormat="1" ht="17.25" customHeight="1" x14ac:dyDescent="0.2">
      <c r="A502" s="250" t="s">
        <v>267</v>
      </c>
      <c r="B502" s="381" t="s">
        <v>268</v>
      </c>
      <c r="C502" s="384" t="s">
        <v>228</v>
      </c>
      <c r="D502" s="13">
        <f>1251.31*1.05</f>
        <v>1313.88</v>
      </c>
      <c r="E502" s="14">
        <f t="shared" si="35"/>
        <v>262.77999999999997</v>
      </c>
      <c r="F502" s="97">
        <f t="shared" si="36"/>
        <v>1576.66</v>
      </c>
      <c r="G502" s="412"/>
      <c r="H502" s="2"/>
      <c r="I502" s="34"/>
      <c r="J502" s="2"/>
      <c r="K502" s="326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89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89"/>
      <c r="BJ502" s="305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</row>
    <row r="503" spans="1:113" s="15" customFormat="1" ht="18" customHeight="1" x14ac:dyDescent="0.2">
      <c r="A503" s="250" t="s">
        <v>269</v>
      </c>
      <c r="B503" s="381" t="s">
        <v>270</v>
      </c>
      <c r="C503" s="384" t="s">
        <v>228</v>
      </c>
      <c r="D503" s="13">
        <f>1251.31*1.05</f>
        <v>1313.88</v>
      </c>
      <c r="E503" s="14">
        <f t="shared" si="35"/>
        <v>262.77999999999997</v>
      </c>
      <c r="F503" s="97">
        <f t="shared" si="36"/>
        <v>1576.66</v>
      </c>
      <c r="G503" s="412"/>
      <c r="H503" s="2"/>
      <c r="I503" s="34"/>
      <c r="J503" s="2"/>
      <c r="K503" s="326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89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89"/>
      <c r="BJ503" s="305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</row>
    <row r="504" spans="1:113" s="15" customFormat="1" ht="39.75" customHeight="1" x14ac:dyDescent="0.2">
      <c r="A504" s="396" t="s">
        <v>271</v>
      </c>
      <c r="B504" s="381" t="s">
        <v>272</v>
      </c>
      <c r="C504" s="384" t="s">
        <v>228</v>
      </c>
      <c r="D504" s="13">
        <f>1251.31*1.05</f>
        <v>1313.88</v>
      </c>
      <c r="E504" s="14">
        <f t="shared" si="35"/>
        <v>262.77999999999997</v>
      </c>
      <c r="F504" s="97">
        <f>D504+E504</f>
        <v>1576.66</v>
      </c>
      <c r="G504" s="412"/>
      <c r="H504" s="2"/>
      <c r="I504" s="34"/>
      <c r="J504" s="2"/>
      <c r="K504" s="326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89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89"/>
      <c r="BJ504" s="305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</row>
    <row r="505" spans="1:113" s="15" customFormat="1" ht="25.5" customHeight="1" x14ac:dyDescent="0.2">
      <c r="A505" s="396" t="s">
        <v>273</v>
      </c>
      <c r="B505" s="437" t="s">
        <v>1927</v>
      </c>
      <c r="C505" s="437"/>
      <c r="D505" s="437"/>
      <c r="E505" s="437"/>
      <c r="F505" s="437"/>
      <c r="G505" s="412"/>
      <c r="H505" s="2"/>
      <c r="I505" s="34"/>
      <c r="J505" s="2"/>
      <c r="K505" s="326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89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89"/>
      <c r="BJ505" s="305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</row>
    <row r="506" spans="1:113" s="15" customFormat="1" ht="20.25" customHeight="1" x14ac:dyDescent="0.2">
      <c r="A506" s="250" t="s">
        <v>274</v>
      </c>
      <c r="B506" s="381" t="s">
        <v>275</v>
      </c>
      <c r="C506" s="384" t="s">
        <v>228</v>
      </c>
      <c r="D506" s="13">
        <f>1191.86*1.05</f>
        <v>1251.45</v>
      </c>
      <c r="E506" s="14">
        <f t="shared" ref="E506:E515" si="37">D506*20%</f>
        <v>250.29</v>
      </c>
      <c r="F506" s="97">
        <f t="shared" ref="F506:F513" si="38">D506+E506</f>
        <v>1501.74</v>
      </c>
      <c r="G506" s="412"/>
      <c r="H506" s="2"/>
      <c r="I506" s="34"/>
      <c r="J506" s="2"/>
      <c r="K506" s="326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89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89"/>
      <c r="BJ506" s="305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</row>
    <row r="507" spans="1:113" s="15" customFormat="1" ht="23.25" customHeight="1" x14ac:dyDescent="0.2">
      <c r="A507" s="250" t="s">
        <v>276</v>
      </c>
      <c r="B507" s="381" t="s">
        <v>277</v>
      </c>
      <c r="C507" s="384" t="s">
        <v>228</v>
      </c>
      <c r="D507" s="13">
        <f>1191.86*1.05</f>
        <v>1251.45</v>
      </c>
      <c r="E507" s="14">
        <f t="shared" si="37"/>
        <v>250.29</v>
      </c>
      <c r="F507" s="97">
        <f t="shared" si="38"/>
        <v>1501.74</v>
      </c>
      <c r="G507" s="412"/>
      <c r="H507" s="2"/>
      <c r="I507" s="34"/>
      <c r="J507" s="2"/>
      <c r="K507" s="326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89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89"/>
      <c r="BJ507" s="305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</row>
    <row r="508" spans="1:113" s="15" customFormat="1" ht="22.5" customHeight="1" x14ac:dyDescent="0.2">
      <c r="A508" s="250" t="s">
        <v>278</v>
      </c>
      <c r="B508" s="381" t="s">
        <v>279</v>
      </c>
      <c r="C508" s="384" t="s">
        <v>228</v>
      </c>
      <c r="D508" s="13">
        <f>1301.36*1.05</f>
        <v>1366.43</v>
      </c>
      <c r="E508" s="14">
        <f t="shared" si="37"/>
        <v>273.29000000000002</v>
      </c>
      <c r="F508" s="97">
        <f t="shared" si="38"/>
        <v>1639.72</v>
      </c>
      <c r="G508" s="412"/>
      <c r="H508" s="2"/>
      <c r="I508" s="34"/>
      <c r="J508" s="2"/>
      <c r="K508" s="326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89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89"/>
      <c r="BJ508" s="305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</row>
    <row r="509" spans="1:113" s="15" customFormat="1" ht="24" customHeight="1" x14ac:dyDescent="0.2">
      <c r="A509" s="250" t="s">
        <v>280</v>
      </c>
      <c r="B509" s="381" t="s">
        <v>281</v>
      </c>
      <c r="C509" s="384" t="s">
        <v>228</v>
      </c>
      <c r="D509" s="13">
        <f>1301.36*1.05</f>
        <v>1366.43</v>
      </c>
      <c r="E509" s="14">
        <f t="shared" si="37"/>
        <v>273.29000000000002</v>
      </c>
      <c r="F509" s="97">
        <f t="shared" si="38"/>
        <v>1639.72</v>
      </c>
      <c r="G509" s="412"/>
      <c r="H509" s="2"/>
      <c r="I509" s="34"/>
      <c r="J509" s="2"/>
      <c r="K509" s="326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89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89"/>
      <c r="BJ509" s="305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</row>
    <row r="510" spans="1:113" s="15" customFormat="1" ht="19.5" customHeight="1" x14ac:dyDescent="0.2">
      <c r="A510" s="250" t="s">
        <v>282</v>
      </c>
      <c r="B510" s="381" t="s">
        <v>283</v>
      </c>
      <c r="C510" s="384" t="s">
        <v>228</v>
      </c>
      <c r="D510" s="13">
        <f>1301.36*1.05</f>
        <v>1366.43</v>
      </c>
      <c r="E510" s="14">
        <f t="shared" si="37"/>
        <v>273.29000000000002</v>
      </c>
      <c r="F510" s="97">
        <f t="shared" si="38"/>
        <v>1639.72</v>
      </c>
      <c r="G510" s="412"/>
      <c r="H510" s="2"/>
      <c r="I510" s="34"/>
      <c r="J510" s="2"/>
      <c r="K510" s="326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89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89"/>
      <c r="BJ510" s="305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</row>
    <row r="511" spans="1:113" s="15" customFormat="1" ht="20.25" customHeight="1" x14ac:dyDescent="0.2">
      <c r="A511" s="250" t="s">
        <v>284</v>
      </c>
      <c r="B511" s="381" t="s">
        <v>285</v>
      </c>
      <c r="C511" s="384" t="s">
        <v>228</v>
      </c>
      <c r="D511" s="13">
        <f>1191.86*1.05</f>
        <v>1251.45</v>
      </c>
      <c r="E511" s="14">
        <f t="shared" si="37"/>
        <v>250.29</v>
      </c>
      <c r="F511" s="97">
        <f t="shared" si="38"/>
        <v>1501.74</v>
      </c>
      <c r="G511" s="412"/>
      <c r="H511" s="2"/>
      <c r="I511" s="34"/>
      <c r="J511" s="2"/>
      <c r="K511" s="326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89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89"/>
      <c r="BJ511" s="305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</row>
    <row r="512" spans="1:113" s="15" customFormat="1" ht="21" customHeight="1" x14ac:dyDescent="0.2">
      <c r="A512" s="250" t="s">
        <v>286</v>
      </c>
      <c r="B512" s="381" t="s">
        <v>287</v>
      </c>
      <c r="C512" s="384" t="s">
        <v>228</v>
      </c>
      <c r="D512" s="13">
        <f>1120.25*1.05</f>
        <v>1176.26</v>
      </c>
      <c r="E512" s="14">
        <f t="shared" si="37"/>
        <v>235.25</v>
      </c>
      <c r="F512" s="97">
        <f t="shared" si="38"/>
        <v>1411.51</v>
      </c>
      <c r="G512" s="412"/>
      <c r="H512" s="2"/>
      <c r="I512" s="34"/>
      <c r="J512" s="2"/>
      <c r="K512" s="326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89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89"/>
      <c r="BJ512" s="305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</row>
    <row r="513" spans="1:113" s="15" customFormat="1" ht="39" customHeight="1" x14ac:dyDescent="0.2">
      <c r="A513" s="250" t="s">
        <v>1929</v>
      </c>
      <c r="B513" s="381" t="s">
        <v>1928</v>
      </c>
      <c r="C513" s="122" t="s">
        <v>1666</v>
      </c>
      <c r="D513" s="13">
        <f>5688.4*1.05</f>
        <v>5972.82</v>
      </c>
      <c r="E513" s="14">
        <f t="shared" si="37"/>
        <v>1194.56</v>
      </c>
      <c r="F513" s="97">
        <f t="shared" si="38"/>
        <v>7167.38</v>
      </c>
      <c r="G513" s="412"/>
      <c r="H513" s="2"/>
      <c r="I513" s="34"/>
      <c r="J513" s="2"/>
      <c r="K513" s="326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89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89"/>
      <c r="BJ513" s="305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</row>
    <row r="514" spans="1:113" s="15" customFormat="1" ht="30.75" customHeight="1" x14ac:dyDescent="0.2">
      <c r="A514" s="250" t="s">
        <v>2276</v>
      </c>
      <c r="B514" s="381" t="s">
        <v>2277</v>
      </c>
      <c r="C514" s="122" t="s">
        <v>1666</v>
      </c>
      <c r="D514" s="13">
        <v>1154</v>
      </c>
      <c r="E514" s="14">
        <f t="shared" ref="E514" si="39">D514*20%</f>
        <v>230.8</v>
      </c>
      <c r="F514" s="97">
        <f t="shared" ref="F514" si="40">D514+E514</f>
        <v>1384.8</v>
      </c>
      <c r="G514" s="412"/>
      <c r="H514" s="2"/>
      <c r="I514" s="34"/>
      <c r="J514" s="2"/>
      <c r="K514" s="326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89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89"/>
      <c r="BJ514" s="305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</row>
    <row r="515" spans="1:113" s="15" customFormat="1" ht="30.75" customHeight="1" x14ac:dyDescent="0.2">
      <c r="A515" s="396" t="s">
        <v>288</v>
      </c>
      <c r="B515" s="381" t="s">
        <v>289</v>
      </c>
      <c r="C515" s="384" t="s">
        <v>228</v>
      </c>
      <c r="D515" s="13">
        <f>449.49*1.05</f>
        <v>471.96</v>
      </c>
      <c r="E515" s="14">
        <f t="shared" si="37"/>
        <v>94.39</v>
      </c>
      <c r="F515" s="97">
        <f>D515+E515</f>
        <v>566.35</v>
      </c>
      <c r="G515" s="412"/>
      <c r="H515" s="2"/>
      <c r="I515" s="34"/>
      <c r="J515" s="2"/>
      <c r="K515" s="326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89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89"/>
      <c r="BJ515" s="305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</row>
    <row r="516" spans="1:113" s="15" customFormat="1" ht="26.25" customHeight="1" x14ac:dyDescent="0.2">
      <c r="A516" s="396" t="s">
        <v>290</v>
      </c>
      <c r="B516" s="437" t="s">
        <v>291</v>
      </c>
      <c r="C516" s="437"/>
      <c r="D516" s="437"/>
      <c r="E516" s="437"/>
      <c r="F516" s="437"/>
      <c r="G516" s="412"/>
      <c r="H516" s="2"/>
      <c r="I516" s="34"/>
      <c r="J516" s="2"/>
      <c r="K516" s="326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89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89"/>
      <c r="BJ516" s="305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</row>
    <row r="517" spans="1:113" s="15" customFormat="1" ht="37.5" customHeight="1" x14ac:dyDescent="0.2">
      <c r="A517" s="250" t="s">
        <v>292</v>
      </c>
      <c r="B517" s="381" t="s">
        <v>293</v>
      </c>
      <c r="C517" s="384" t="s">
        <v>228</v>
      </c>
      <c r="D517" s="13">
        <f>1639.25*1.05</f>
        <v>1721.21</v>
      </c>
      <c r="E517" s="14">
        <f t="shared" ref="E517:E526" si="41">D517*20%</f>
        <v>344.24</v>
      </c>
      <c r="F517" s="97">
        <f t="shared" ref="F517:F526" si="42">D517+E517</f>
        <v>2065.4499999999998</v>
      </c>
      <c r="G517" s="412"/>
      <c r="H517" s="2"/>
      <c r="I517" s="34"/>
      <c r="J517" s="2"/>
      <c r="K517" s="326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89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89"/>
      <c r="BJ517" s="305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</row>
    <row r="518" spans="1:113" s="15" customFormat="1" ht="46.5" customHeight="1" x14ac:dyDescent="0.2">
      <c r="A518" s="250" t="s">
        <v>294</v>
      </c>
      <c r="B518" s="381" t="s">
        <v>295</v>
      </c>
      <c r="C518" s="384" t="s">
        <v>228</v>
      </c>
      <c r="D518" s="13">
        <f>1639.25*1.05</f>
        <v>1721.21</v>
      </c>
      <c r="E518" s="14">
        <f t="shared" si="41"/>
        <v>344.24</v>
      </c>
      <c r="F518" s="97">
        <f t="shared" si="42"/>
        <v>2065.4499999999998</v>
      </c>
      <c r="G518" s="412"/>
      <c r="H518" s="2"/>
      <c r="I518" s="34"/>
      <c r="J518" s="2"/>
      <c r="K518" s="326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89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89"/>
      <c r="BJ518" s="305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</row>
    <row r="519" spans="1:113" s="15" customFormat="1" ht="46.5" customHeight="1" x14ac:dyDescent="0.2">
      <c r="A519" s="250" t="s">
        <v>296</v>
      </c>
      <c r="B519" s="381" t="s">
        <v>297</v>
      </c>
      <c r="C519" s="384" t="s">
        <v>228</v>
      </c>
      <c r="D519" s="13">
        <f>1639.25*1.05</f>
        <v>1721.21</v>
      </c>
      <c r="E519" s="14">
        <f t="shared" si="41"/>
        <v>344.24</v>
      </c>
      <c r="F519" s="97">
        <f t="shared" si="42"/>
        <v>2065.4499999999998</v>
      </c>
      <c r="G519" s="412"/>
      <c r="H519" s="2"/>
      <c r="I519" s="34"/>
      <c r="J519" s="2"/>
      <c r="K519" s="326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89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89"/>
      <c r="BJ519" s="305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</row>
    <row r="520" spans="1:113" s="15" customFormat="1" ht="21.75" customHeight="1" x14ac:dyDescent="0.2">
      <c r="A520" s="250" t="s">
        <v>298</v>
      </c>
      <c r="B520" s="381" t="s">
        <v>299</v>
      </c>
      <c r="C520" s="384" t="s">
        <v>228</v>
      </c>
      <c r="D520" s="13">
        <f>1639.25*1.05</f>
        <v>1721.21</v>
      </c>
      <c r="E520" s="14">
        <f t="shared" si="41"/>
        <v>344.24</v>
      </c>
      <c r="F520" s="97">
        <f t="shared" si="42"/>
        <v>2065.4499999999998</v>
      </c>
      <c r="G520" s="412"/>
      <c r="H520" s="2"/>
      <c r="I520" s="34"/>
      <c r="J520" s="2"/>
      <c r="K520" s="326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89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89"/>
      <c r="BJ520" s="305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</row>
    <row r="521" spans="1:113" s="15" customFormat="1" ht="32.25" customHeight="1" x14ac:dyDescent="0.2">
      <c r="A521" s="250" t="s">
        <v>300</v>
      </c>
      <c r="B521" s="98" t="s">
        <v>301</v>
      </c>
      <c r="C521" s="384" t="s">
        <v>228</v>
      </c>
      <c r="D521" s="13">
        <f>980.32*1.05</f>
        <v>1029.3399999999999</v>
      </c>
      <c r="E521" s="14">
        <f t="shared" si="41"/>
        <v>205.87</v>
      </c>
      <c r="F521" s="97">
        <f t="shared" si="42"/>
        <v>1235.21</v>
      </c>
      <c r="G521" s="412"/>
      <c r="H521" s="2"/>
      <c r="I521" s="34"/>
      <c r="J521" s="2"/>
      <c r="K521" s="326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89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89"/>
      <c r="BJ521" s="305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</row>
    <row r="522" spans="1:113" s="15" customFormat="1" ht="29.25" customHeight="1" x14ac:dyDescent="0.2">
      <c r="A522" s="250" t="s">
        <v>302</v>
      </c>
      <c r="B522" s="381" t="s">
        <v>303</v>
      </c>
      <c r="C522" s="384" t="s">
        <v>228</v>
      </c>
      <c r="D522" s="13">
        <f>855.45*1.05</f>
        <v>898.22</v>
      </c>
      <c r="E522" s="14">
        <f t="shared" si="41"/>
        <v>179.64</v>
      </c>
      <c r="F522" s="97">
        <f t="shared" si="42"/>
        <v>1077.8599999999999</v>
      </c>
      <c r="G522" s="412"/>
      <c r="H522" s="2"/>
      <c r="I522" s="34"/>
      <c r="J522" s="2"/>
      <c r="K522" s="326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89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89"/>
      <c r="BJ522" s="305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</row>
    <row r="523" spans="1:113" s="15" customFormat="1" ht="36.75" customHeight="1" x14ac:dyDescent="0.2">
      <c r="A523" s="250" t="s">
        <v>304</v>
      </c>
      <c r="B523" s="381" t="s">
        <v>305</v>
      </c>
      <c r="C523" s="384" t="s">
        <v>228</v>
      </c>
      <c r="D523" s="13">
        <f>407.77*1.05</f>
        <v>428.16</v>
      </c>
      <c r="E523" s="14">
        <f t="shared" si="41"/>
        <v>85.63</v>
      </c>
      <c r="F523" s="97">
        <f t="shared" si="42"/>
        <v>513.79</v>
      </c>
      <c r="G523" s="412"/>
      <c r="H523" s="2"/>
      <c r="I523" s="34"/>
      <c r="J523" s="2"/>
      <c r="K523" s="326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89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89"/>
      <c r="BJ523" s="305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</row>
    <row r="524" spans="1:113" s="15" customFormat="1" ht="36" customHeight="1" x14ac:dyDescent="0.2">
      <c r="A524" s="250" t="s">
        <v>306</v>
      </c>
      <c r="B524" s="381" t="s">
        <v>307</v>
      </c>
      <c r="C524" s="384" t="s">
        <v>228</v>
      </c>
      <c r="D524" s="13">
        <f>884.44*1.05</f>
        <v>928.66</v>
      </c>
      <c r="E524" s="14">
        <f t="shared" si="41"/>
        <v>185.73</v>
      </c>
      <c r="F524" s="97">
        <f t="shared" si="42"/>
        <v>1114.3900000000001</v>
      </c>
      <c r="G524" s="412"/>
      <c r="H524" s="2"/>
      <c r="I524" s="34"/>
      <c r="J524" s="2"/>
      <c r="K524" s="326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89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89"/>
      <c r="BJ524" s="305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</row>
    <row r="525" spans="1:113" s="15" customFormat="1" ht="35.25" customHeight="1" x14ac:dyDescent="0.2">
      <c r="A525" s="250" t="s">
        <v>308</v>
      </c>
      <c r="B525" s="381" t="s">
        <v>309</v>
      </c>
      <c r="C525" s="384" t="s">
        <v>228</v>
      </c>
      <c r="D525" s="13">
        <f>452.11*1.05</f>
        <v>474.72</v>
      </c>
      <c r="E525" s="14">
        <f t="shared" si="41"/>
        <v>94.94</v>
      </c>
      <c r="F525" s="97">
        <f t="shared" si="42"/>
        <v>569.66</v>
      </c>
      <c r="G525" s="412"/>
      <c r="H525" s="2"/>
      <c r="I525" s="34"/>
      <c r="J525" s="2"/>
      <c r="K525" s="326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89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89"/>
      <c r="BJ525" s="305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</row>
    <row r="526" spans="1:113" s="15" customFormat="1" ht="19.5" customHeight="1" x14ac:dyDescent="0.2">
      <c r="A526" s="250" t="s">
        <v>310</v>
      </c>
      <c r="B526" s="381" t="s">
        <v>2005</v>
      </c>
      <c r="C526" s="384" t="s">
        <v>228</v>
      </c>
      <c r="D526" s="13">
        <f>485.2*1.05</f>
        <v>509.46</v>
      </c>
      <c r="E526" s="14">
        <f t="shared" si="41"/>
        <v>101.89</v>
      </c>
      <c r="F526" s="97">
        <f t="shared" si="42"/>
        <v>611.35</v>
      </c>
      <c r="G526" s="412"/>
      <c r="H526" s="2"/>
      <c r="I526" s="34"/>
      <c r="J526" s="2"/>
      <c r="K526" s="326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89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89"/>
      <c r="BJ526" s="305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</row>
    <row r="527" spans="1:113" s="15" customFormat="1" ht="24.75" customHeight="1" x14ac:dyDescent="0.2">
      <c r="A527" s="396" t="s">
        <v>311</v>
      </c>
      <c r="B527" s="437" t="s">
        <v>312</v>
      </c>
      <c r="C527" s="437"/>
      <c r="D527" s="437"/>
      <c r="E527" s="437"/>
      <c r="F527" s="437"/>
      <c r="G527" s="412"/>
      <c r="H527" s="2"/>
      <c r="I527" s="34"/>
      <c r="J527" s="2"/>
      <c r="K527" s="326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89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89"/>
      <c r="BJ527" s="305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</row>
    <row r="528" spans="1:113" s="15" customFormat="1" ht="32.25" customHeight="1" x14ac:dyDescent="0.2">
      <c r="A528" s="250" t="s">
        <v>313</v>
      </c>
      <c r="B528" s="99" t="s">
        <v>314</v>
      </c>
      <c r="C528" s="384" t="s">
        <v>228</v>
      </c>
      <c r="D528" s="13">
        <f>520.44*1.05</f>
        <v>546.46</v>
      </c>
      <c r="E528" s="14">
        <f>D528*20%</f>
        <v>109.29</v>
      </c>
      <c r="F528" s="97">
        <f>D528+E528</f>
        <v>655.75</v>
      </c>
      <c r="G528" s="412"/>
      <c r="H528" s="2"/>
      <c r="I528" s="34"/>
      <c r="J528" s="2"/>
      <c r="K528" s="326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89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89"/>
      <c r="BJ528" s="305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</row>
    <row r="529" spans="1:113" s="15" customFormat="1" ht="24" customHeight="1" x14ac:dyDescent="0.2">
      <c r="A529" s="250" t="s">
        <v>315</v>
      </c>
      <c r="B529" s="100" t="s">
        <v>316</v>
      </c>
      <c r="C529" s="384" t="s">
        <v>228</v>
      </c>
      <c r="D529" s="13">
        <f>520.44*1.05</f>
        <v>546.46</v>
      </c>
      <c r="E529" s="14">
        <f>D529*20%</f>
        <v>109.29</v>
      </c>
      <c r="F529" s="97">
        <f>D529+E529</f>
        <v>655.75</v>
      </c>
      <c r="G529" s="412"/>
      <c r="H529" s="2"/>
      <c r="I529" s="34"/>
      <c r="J529" s="2"/>
      <c r="K529" s="326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89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89"/>
      <c r="BJ529" s="305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</row>
    <row r="530" spans="1:113" s="15" customFormat="1" ht="26.25" customHeight="1" x14ac:dyDescent="0.2">
      <c r="A530" s="396" t="s">
        <v>317</v>
      </c>
      <c r="B530" s="457" t="s">
        <v>318</v>
      </c>
      <c r="C530" s="457"/>
      <c r="D530" s="457"/>
      <c r="E530" s="457"/>
      <c r="F530" s="457"/>
      <c r="G530" s="412"/>
      <c r="H530" s="2"/>
      <c r="I530" s="34"/>
      <c r="J530" s="2"/>
      <c r="K530" s="326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89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89"/>
      <c r="BJ530" s="305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</row>
    <row r="531" spans="1:113" s="15" customFormat="1" ht="26.25" customHeight="1" x14ac:dyDescent="0.2">
      <c r="A531" s="250" t="s">
        <v>319</v>
      </c>
      <c r="B531" s="98" t="s">
        <v>320</v>
      </c>
      <c r="C531" s="384" t="s">
        <v>228</v>
      </c>
      <c r="D531" s="13">
        <f>2027.38*1.05</f>
        <v>2128.75</v>
      </c>
      <c r="E531" s="14">
        <f t="shared" ref="E531:E544" si="43">D531*20%</f>
        <v>425.75</v>
      </c>
      <c r="F531" s="97">
        <f t="shared" ref="F531:F541" si="44">D531+E531</f>
        <v>2554.5</v>
      </c>
      <c r="G531" s="412"/>
      <c r="H531" s="2"/>
      <c r="I531" s="34"/>
      <c r="J531" s="2"/>
      <c r="K531" s="326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89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89"/>
      <c r="BJ531" s="305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</row>
    <row r="532" spans="1:113" s="15" customFormat="1" ht="22.5" customHeight="1" x14ac:dyDescent="0.2">
      <c r="A532" s="250" t="s">
        <v>321</v>
      </c>
      <c r="B532" s="98" t="s">
        <v>322</v>
      </c>
      <c r="C532" s="384" t="s">
        <v>228</v>
      </c>
      <c r="D532" s="13">
        <f>1921.84*1.05</f>
        <v>2017.93</v>
      </c>
      <c r="E532" s="14">
        <f t="shared" si="43"/>
        <v>403.59</v>
      </c>
      <c r="F532" s="97">
        <f t="shared" si="44"/>
        <v>2421.52</v>
      </c>
      <c r="G532" s="412"/>
      <c r="H532" s="2"/>
      <c r="I532" s="34"/>
      <c r="J532" s="2"/>
      <c r="K532" s="326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89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89"/>
      <c r="BJ532" s="305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</row>
    <row r="533" spans="1:113" s="15" customFormat="1" ht="22.5" customHeight="1" x14ac:dyDescent="0.2">
      <c r="A533" s="250" t="s">
        <v>323</v>
      </c>
      <c r="B533" s="98" t="s">
        <v>324</v>
      </c>
      <c r="C533" s="384" t="s">
        <v>228</v>
      </c>
      <c r="D533" s="13">
        <f>1253.88*1.05</f>
        <v>1316.57</v>
      </c>
      <c r="E533" s="14">
        <f t="shared" si="43"/>
        <v>263.31</v>
      </c>
      <c r="F533" s="97">
        <f t="shared" si="44"/>
        <v>1579.88</v>
      </c>
      <c r="G533" s="412"/>
      <c r="H533" s="2"/>
      <c r="I533" s="34"/>
      <c r="J533" s="2"/>
      <c r="K533" s="326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89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89"/>
      <c r="BJ533" s="305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</row>
    <row r="534" spans="1:113" s="15" customFormat="1" ht="20.25" customHeight="1" x14ac:dyDescent="0.2">
      <c r="A534" s="250" t="s">
        <v>325</v>
      </c>
      <c r="B534" s="98" t="s">
        <v>326</v>
      </c>
      <c r="C534" s="384" t="s">
        <v>228</v>
      </c>
      <c r="D534" s="13">
        <f>1993.77*1.05</f>
        <v>2093.46</v>
      </c>
      <c r="E534" s="14">
        <f t="shared" si="43"/>
        <v>418.69</v>
      </c>
      <c r="F534" s="97">
        <f t="shared" si="44"/>
        <v>2512.15</v>
      </c>
      <c r="G534" s="412"/>
      <c r="H534" s="2"/>
      <c r="I534" s="34"/>
      <c r="J534" s="2"/>
      <c r="K534" s="326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89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89"/>
      <c r="BJ534" s="305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</row>
    <row r="535" spans="1:113" s="15" customFormat="1" ht="21.75" customHeight="1" x14ac:dyDescent="0.2">
      <c r="A535" s="250" t="s">
        <v>327</v>
      </c>
      <c r="B535" s="98" t="s">
        <v>328</v>
      </c>
      <c r="C535" s="384" t="s">
        <v>228</v>
      </c>
      <c r="D535" s="13">
        <f>1978.84*1.05</f>
        <v>2077.7800000000002</v>
      </c>
      <c r="E535" s="14">
        <f t="shared" si="43"/>
        <v>415.56</v>
      </c>
      <c r="F535" s="97">
        <f t="shared" si="44"/>
        <v>2493.34</v>
      </c>
      <c r="G535" s="412"/>
      <c r="H535" s="2"/>
      <c r="I535" s="34"/>
      <c r="J535" s="2"/>
      <c r="K535" s="326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89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89"/>
      <c r="BJ535" s="305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</row>
    <row r="536" spans="1:113" s="15" customFormat="1" ht="18.75" customHeight="1" x14ac:dyDescent="0.2">
      <c r="A536" s="250" t="s">
        <v>329</v>
      </c>
      <c r="B536" s="98" t="s">
        <v>1752</v>
      </c>
      <c r="C536" s="384" t="s">
        <v>228</v>
      </c>
      <c r="D536" s="13">
        <f>1990.38*1.05</f>
        <v>2089.9</v>
      </c>
      <c r="E536" s="14">
        <f t="shared" si="43"/>
        <v>417.98</v>
      </c>
      <c r="F536" s="97">
        <f>D536+E536</f>
        <v>2507.88</v>
      </c>
      <c r="G536" s="412"/>
      <c r="H536" s="2"/>
      <c r="I536" s="34"/>
      <c r="J536" s="2"/>
      <c r="K536" s="326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89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89"/>
      <c r="BJ536" s="305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</row>
    <row r="537" spans="1:113" s="15" customFormat="1" ht="18.75" customHeight="1" x14ac:dyDescent="0.2">
      <c r="A537" s="250" t="s">
        <v>330</v>
      </c>
      <c r="B537" s="98" t="s">
        <v>331</v>
      </c>
      <c r="C537" s="384" t="s">
        <v>228</v>
      </c>
      <c r="D537" s="13">
        <f>2040.74*1.05</f>
        <v>2142.7800000000002</v>
      </c>
      <c r="E537" s="14">
        <f t="shared" si="43"/>
        <v>428.56</v>
      </c>
      <c r="F537" s="97">
        <f t="shared" si="44"/>
        <v>2571.34</v>
      </c>
      <c r="G537" s="412"/>
      <c r="H537" s="2"/>
      <c r="I537" s="34"/>
      <c r="J537" s="2"/>
      <c r="K537" s="326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89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89"/>
      <c r="BJ537" s="305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</row>
    <row r="538" spans="1:113" s="15" customFormat="1" ht="18.75" customHeight="1" x14ac:dyDescent="0.2">
      <c r="A538" s="250" t="s">
        <v>332</v>
      </c>
      <c r="B538" s="98" t="s">
        <v>333</v>
      </c>
      <c r="C538" s="384" t="s">
        <v>228</v>
      </c>
      <c r="D538" s="13">
        <f>1696.36*1.05</f>
        <v>1781.18</v>
      </c>
      <c r="E538" s="14">
        <f t="shared" si="43"/>
        <v>356.24</v>
      </c>
      <c r="F538" s="97">
        <f t="shared" si="44"/>
        <v>2137.42</v>
      </c>
      <c r="G538" s="412"/>
      <c r="H538" s="2"/>
      <c r="I538" s="34"/>
      <c r="J538" s="2"/>
      <c r="K538" s="326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89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413" t="s">
        <v>334</v>
      </c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89"/>
      <c r="BJ538" s="305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</row>
    <row r="539" spans="1:113" s="15" customFormat="1" ht="18.75" customHeight="1" x14ac:dyDescent="0.2">
      <c r="A539" s="250" t="s">
        <v>335</v>
      </c>
      <c r="B539" s="98" t="s">
        <v>336</v>
      </c>
      <c r="C539" s="384" t="s">
        <v>228</v>
      </c>
      <c r="D539" s="13">
        <f>1805.15*1.05</f>
        <v>1895.41</v>
      </c>
      <c r="E539" s="14">
        <f t="shared" si="43"/>
        <v>379.08</v>
      </c>
      <c r="F539" s="97">
        <f t="shared" si="44"/>
        <v>2274.4899999999998</v>
      </c>
      <c r="G539" s="412"/>
      <c r="H539" s="2"/>
      <c r="I539" s="34"/>
      <c r="J539" s="2"/>
      <c r="K539" s="326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89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413" t="s">
        <v>334</v>
      </c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89"/>
      <c r="BJ539" s="305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</row>
    <row r="540" spans="1:113" s="15" customFormat="1" ht="18.75" customHeight="1" x14ac:dyDescent="0.2">
      <c r="A540" s="250" t="s">
        <v>337</v>
      </c>
      <c r="B540" s="98" t="s">
        <v>338</v>
      </c>
      <c r="C540" s="384" t="s">
        <v>228</v>
      </c>
      <c r="D540" s="13">
        <f>1763.78*1.05</f>
        <v>1851.97</v>
      </c>
      <c r="E540" s="14">
        <f t="shared" si="43"/>
        <v>370.39</v>
      </c>
      <c r="F540" s="97">
        <f t="shared" si="44"/>
        <v>2222.36</v>
      </c>
      <c r="G540" s="412"/>
      <c r="H540" s="2"/>
      <c r="I540" s="34"/>
      <c r="J540" s="2"/>
      <c r="K540" s="326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89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413" t="s">
        <v>334</v>
      </c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89"/>
      <c r="BJ540" s="305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</row>
    <row r="541" spans="1:113" s="15" customFormat="1" ht="18.75" customHeight="1" x14ac:dyDescent="0.2">
      <c r="A541" s="250" t="s">
        <v>339</v>
      </c>
      <c r="B541" s="98" t="s">
        <v>340</v>
      </c>
      <c r="C541" s="384" t="s">
        <v>228</v>
      </c>
      <c r="D541" s="13">
        <f>1762.97*1.05</f>
        <v>1851.12</v>
      </c>
      <c r="E541" s="14">
        <f t="shared" si="43"/>
        <v>370.22</v>
      </c>
      <c r="F541" s="97">
        <f t="shared" si="44"/>
        <v>2221.34</v>
      </c>
      <c r="G541" s="412"/>
      <c r="H541" s="2"/>
      <c r="I541" s="34"/>
      <c r="J541" s="2"/>
      <c r="K541" s="326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89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413" t="s">
        <v>334</v>
      </c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89"/>
      <c r="BJ541" s="305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</row>
    <row r="542" spans="1:113" s="15" customFormat="1" ht="18.75" customHeight="1" x14ac:dyDescent="0.2">
      <c r="A542" s="250" t="s">
        <v>341</v>
      </c>
      <c r="B542" s="98" t="s">
        <v>342</v>
      </c>
      <c r="C542" s="384" t="s">
        <v>228</v>
      </c>
      <c r="D542" s="13">
        <f>1762.97*1.05</f>
        <v>1851.12</v>
      </c>
      <c r="E542" s="14">
        <f>D542*20%</f>
        <v>370.22</v>
      </c>
      <c r="F542" s="97">
        <f>D542+E542</f>
        <v>2221.34</v>
      </c>
      <c r="G542" s="412"/>
      <c r="H542" s="2"/>
      <c r="I542" s="34"/>
      <c r="J542" s="2"/>
      <c r="K542" s="326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89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413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89"/>
      <c r="BJ542" s="305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</row>
    <row r="543" spans="1:113" s="15" customFormat="1" ht="33" customHeight="1" x14ac:dyDescent="0.2">
      <c r="A543" s="250" t="s">
        <v>343</v>
      </c>
      <c r="B543" s="381" t="s">
        <v>344</v>
      </c>
      <c r="C543" s="384" t="s">
        <v>228</v>
      </c>
      <c r="D543" s="97">
        <f>735.24*1.05</f>
        <v>772</v>
      </c>
      <c r="E543" s="14">
        <f t="shared" si="43"/>
        <v>154.4</v>
      </c>
      <c r="F543" s="97">
        <f>D543+E543</f>
        <v>926.4</v>
      </c>
      <c r="G543" s="412"/>
      <c r="H543" s="2"/>
      <c r="I543" s="34"/>
      <c r="J543" s="2"/>
      <c r="K543" s="326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89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89"/>
      <c r="BJ543" s="305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</row>
    <row r="544" spans="1:113" s="15" customFormat="1" ht="30.75" customHeight="1" x14ac:dyDescent="0.2">
      <c r="A544" s="250" t="s">
        <v>345</v>
      </c>
      <c r="B544" s="98" t="s">
        <v>346</v>
      </c>
      <c r="C544" s="384" t="s">
        <v>228</v>
      </c>
      <c r="D544" s="97">
        <f>593.52*1.05</f>
        <v>623.20000000000005</v>
      </c>
      <c r="E544" s="14">
        <f t="shared" si="43"/>
        <v>124.64</v>
      </c>
      <c r="F544" s="97">
        <f>D544+E544</f>
        <v>747.84</v>
      </c>
      <c r="G544" s="412"/>
      <c r="H544" s="2"/>
      <c r="I544" s="34"/>
      <c r="J544" s="2"/>
      <c r="K544" s="326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89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89"/>
      <c r="BJ544" s="305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</row>
    <row r="545" spans="1:113" s="15" customFormat="1" ht="22.5" customHeight="1" x14ac:dyDescent="0.2">
      <c r="A545" s="396" t="s">
        <v>347</v>
      </c>
      <c r="B545" s="437" t="s">
        <v>348</v>
      </c>
      <c r="C545" s="437"/>
      <c r="D545" s="437"/>
      <c r="E545" s="437"/>
      <c r="F545" s="437"/>
      <c r="G545" s="412"/>
      <c r="H545" s="2"/>
      <c r="I545" s="34"/>
      <c r="J545" s="2"/>
      <c r="K545" s="326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89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89"/>
      <c r="BJ545" s="305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</row>
    <row r="546" spans="1:113" s="15" customFormat="1" ht="18.75" customHeight="1" x14ac:dyDescent="0.2">
      <c r="A546" s="250" t="s">
        <v>349</v>
      </c>
      <c r="B546" s="98" t="s">
        <v>350</v>
      </c>
      <c r="C546" s="384" t="s">
        <v>228</v>
      </c>
      <c r="D546" s="101">
        <f>735.24*1.05</f>
        <v>772</v>
      </c>
      <c r="E546" s="14">
        <f>D546*20%</f>
        <v>154.4</v>
      </c>
      <c r="F546" s="14">
        <f>D546+E546</f>
        <v>926.4</v>
      </c>
      <c r="G546" s="412"/>
      <c r="H546" s="2"/>
      <c r="I546" s="34"/>
      <c r="J546" s="2"/>
      <c r="K546" s="326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89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89"/>
      <c r="BJ546" s="305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</row>
    <row r="547" spans="1:113" s="15" customFormat="1" ht="18.75" customHeight="1" x14ac:dyDescent="0.2">
      <c r="A547" s="250" t="s">
        <v>351</v>
      </c>
      <c r="B547" s="98" t="s">
        <v>352</v>
      </c>
      <c r="C547" s="384" t="s">
        <v>228</v>
      </c>
      <c r="D547" s="101">
        <f>735.24*1.05</f>
        <v>772</v>
      </c>
      <c r="E547" s="14">
        <f>D547*20%</f>
        <v>154.4</v>
      </c>
      <c r="F547" s="14">
        <f>D547+E547</f>
        <v>926.4</v>
      </c>
      <c r="G547" s="412"/>
      <c r="H547" s="2"/>
      <c r="I547" s="34"/>
      <c r="J547" s="2"/>
      <c r="K547" s="326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89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89"/>
      <c r="BJ547" s="305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</row>
    <row r="548" spans="1:113" s="15" customFormat="1" ht="19.5" customHeight="1" x14ac:dyDescent="0.2">
      <c r="A548" s="250" t="s">
        <v>353</v>
      </c>
      <c r="B548" s="98" t="s">
        <v>354</v>
      </c>
      <c r="C548" s="384" t="s">
        <v>228</v>
      </c>
      <c r="D548" s="101">
        <f>1353.95*1.05</f>
        <v>1421.65</v>
      </c>
      <c r="E548" s="14">
        <f>D548*20%</f>
        <v>284.33</v>
      </c>
      <c r="F548" s="14">
        <f>D548+E548</f>
        <v>1705.98</v>
      </c>
      <c r="G548" s="412"/>
      <c r="H548" s="2"/>
      <c r="I548" s="34"/>
      <c r="J548" s="2"/>
      <c r="K548" s="326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89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89"/>
      <c r="BJ548" s="305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</row>
    <row r="549" spans="1:113" s="15" customFormat="1" ht="34.5" customHeight="1" x14ac:dyDescent="0.2">
      <c r="A549" s="250" t="s">
        <v>355</v>
      </c>
      <c r="B549" s="98" t="s">
        <v>356</v>
      </c>
      <c r="C549" s="384" t="s">
        <v>228</v>
      </c>
      <c r="D549" s="13">
        <f>1046.62*1.05</f>
        <v>1098.95</v>
      </c>
      <c r="E549" s="14">
        <f>D549*20%</f>
        <v>219.79</v>
      </c>
      <c r="F549" s="14">
        <f>D549+E549</f>
        <v>1318.74</v>
      </c>
      <c r="G549" s="412"/>
      <c r="H549" s="2"/>
      <c r="I549" s="34"/>
      <c r="J549" s="2"/>
      <c r="K549" s="326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89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89"/>
      <c r="BJ549" s="305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</row>
    <row r="550" spans="1:113" s="15" customFormat="1" ht="33" customHeight="1" x14ac:dyDescent="0.2">
      <c r="A550" s="396" t="s">
        <v>357</v>
      </c>
      <c r="B550" s="457" t="s">
        <v>358</v>
      </c>
      <c r="C550" s="457"/>
      <c r="D550" s="457"/>
      <c r="E550" s="457"/>
      <c r="F550" s="457"/>
      <c r="G550" s="412"/>
      <c r="H550" s="2"/>
      <c r="I550" s="34"/>
      <c r="J550" s="2"/>
      <c r="K550" s="326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89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89"/>
      <c r="BJ550" s="305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</row>
    <row r="551" spans="1:113" s="15" customFormat="1" ht="22.5" customHeight="1" x14ac:dyDescent="0.2">
      <c r="A551" s="250" t="s">
        <v>359</v>
      </c>
      <c r="B551" s="98" t="s">
        <v>360</v>
      </c>
      <c r="C551" s="384" t="s">
        <v>228</v>
      </c>
      <c r="D551" s="13">
        <f>1941.65*1.05</f>
        <v>2038.73</v>
      </c>
      <c r="E551" s="14">
        <f t="shared" ref="E551:E564" si="45">D551*20%</f>
        <v>407.75</v>
      </c>
      <c r="F551" s="14">
        <f t="shared" ref="F551:F564" si="46">D551+E551</f>
        <v>2446.48</v>
      </c>
      <c r="G551" s="412"/>
      <c r="H551" s="2"/>
      <c r="I551" s="34"/>
      <c r="J551" s="2"/>
      <c r="K551" s="326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89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89"/>
      <c r="BJ551" s="305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</row>
    <row r="552" spans="1:113" s="15" customFormat="1" ht="19.5" customHeight="1" x14ac:dyDescent="0.2">
      <c r="A552" s="250" t="s">
        <v>361</v>
      </c>
      <c r="B552" s="98" t="s">
        <v>362</v>
      </c>
      <c r="C552" s="384" t="s">
        <v>228</v>
      </c>
      <c r="D552" s="13">
        <f>1353.95*1.05</f>
        <v>1421.65</v>
      </c>
      <c r="E552" s="14">
        <f t="shared" si="45"/>
        <v>284.33</v>
      </c>
      <c r="F552" s="14">
        <f t="shared" si="46"/>
        <v>1705.98</v>
      </c>
      <c r="G552" s="412"/>
      <c r="H552" s="2"/>
      <c r="I552" s="34"/>
      <c r="J552" s="2"/>
      <c r="K552" s="326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89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89"/>
      <c r="BJ552" s="305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</row>
    <row r="553" spans="1:113" s="15" customFormat="1" ht="22.5" customHeight="1" x14ac:dyDescent="0.2">
      <c r="A553" s="250" t="s">
        <v>363</v>
      </c>
      <c r="B553" s="98" t="s">
        <v>364</v>
      </c>
      <c r="C553" s="384" t="s">
        <v>228</v>
      </c>
      <c r="D553" s="13">
        <f>1523.12*1.05</f>
        <v>1599.28</v>
      </c>
      <c r="E553" s="14">
        <f t="shared" si="45"/>
        <v>319.86</v>
      </c>
      <c r="F553" s="14">
        <f t="shared" si="46"/>
        <v>1919.14</v>
      </c>
      <c r="G553" s="412"/>
      <c r="H553" s="2"/>
      <c r="I553" s="34"/>
      <c r="J553" s="2"/>
      <c r="K553" s="326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89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89"/>
      <c r="BJ553" s="305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</row>
    <row r="554" spans="1:113" s="15" customFormat="1" ht="19.5" customHeight="1" x14ac:dyDescent="0.2">
      <c r="A554" s="250" t="s">
        <v>365</v>
      </c>
      <c r="B554" s="98" t="s">
        <v>366</v>
      </c>
      <c r="C554" s="384" t="s">
        <v>228</v>
      </c>
      <c r="D554" s="13">
        <f>1617.17*1.05</f>
        <v>1698.03</v>
      </c>
      <c r="E554" s="14">
        <f t="shared" si="45"/>
        <v>339.61</v>
      </c>
      <c r="F554" s="14">
        <f t="shared" si="46"/>
        <v>2037.64</v>
      </c>
      <c r="G554" s="412"/>
      <c r="H554" s="2"/>
      <c r="I554" s="34"/>
      <c r="J554" s="2"/>
      <c r="K554" s="326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89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89"/>
      <c r="BJ554" s="305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</row>
    <row r="555" spans="1:113" s="15" customFormat="1" ht="23.25" customHeight="1" x14ac:dyDescent="0.2">
      <c r="A555" s="250" t="s">
        <v>367</v>
      </c>
      <c r="B555" s="98" t="s">
        <v>368</v>
      </c>
      <c r="C555" s="384" t="s">
        <v>228</v>
      </c>
      <c r="D555" s="13">
        <f>1473.35*1.05</f>
        <v>1547.02</v>
      </c>
      <c r="E555" s="14">
        <f t="shared" si="45"/>
        <v>309.39999999999998</v>
      </c>
      <c r="F555" s="14">
        <f t="shared" si="46"/>
        <v>1856.42</v>
      </c>
      <c r="G555" s="412"/>
      <c r="H555" s="2"/>
      <c r="I555" s="34"/>
      <c r="J555" s="2"/>
      <c r="K555" s="326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89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89"/>
      <c r="BJ555" s="305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</row>
    <row r="556" spans="1:113" s="15" customFormat="1" ht="24.75" customHeight="1" x14ac:dyDescent="0.2">
      <c r="A556" s="250" t="s">
        <v>369</v>
      </c>
      <c r="B556" s="98" t="s">
        <v>370</v>
      </c>
      <c r="C556" s="384" t="s">
        <v>228</v>
      </c>
      <c r="D556" s="13">
        <f>1699.46*1.05</f>
        <v>1784.43</v>
      </c>
      <c r="E556" s="14">
        <f t="shared" si="45"/>
        <v>356.89</v>
      </c>
      <c r="F556" s="14">
        <f t="shared" si="46"/>
        <v>2141.3200000000002</v>
      </c>
      <c r="G556" s="412"/>
      <c r="H556" s="2"/>
      <c r="I556" s="34"/>
      <c r="J556" s="2"/>
      <c r="K556" s="326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89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89"/>
      <c r="BJ556" s="305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</row>
    <row r="557" spans="1:113" s="15" customFormat="1" ht="22.5" customHeight="1" x14ac:dyDescent="0.2">
      <c r="A557" s="250" t="s">
        <v>371</v>
      </c>
      <c r="B557" s="98" t="s">
        <v>372</v>
      </c>
      <c r="C557" s="384" t="s">
        <v>228</v>
      </c>
      <c r="D557" s="13">
        <f>1951.6*1.05</f>
        <v>2049.1799999999998</v>
      </c>
      <c r="E557" s="14">
        <f>D565*20%</f>
        <v>428.56</v>
      </c>
      <c r="F557" s="14">
        <f t="shared" si="46"/>
        <v>2477.7399999999998</v>
      </c>
      <c r="G557" s="89"/>
      <c r="H557" s="2"/>
      <c r="I557" s="34"/>
      <c r="J557" s="2"/>
      <c r="K557" s="326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89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 t="s">
        <v>373</v>
      </c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89"/>
      <c r="BJ557" s="305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</row>
    <row r="558" spans="1:113" s="15" customFormat="1" ht="21.75" customHeight="1" x14ac:dyDescent="0.2">
      <c r="A558" s="250" t="s">
        <v>374</v>
      </c>
      <c r="B558" s="98" t="s">
        <v>375</v>
      </c>
      <c r="C558" s="384" t="s">
        <v>228</v>
      </c>
      <c r="D558" s="13">
        <f>1353.95*1.05</f>
        <v>1421.65</v>
      </c>
      <c r="E558" s="14">
        <f t="shared" si="45"/>
        <v>284.33</v>
      </c>
      <c r="F558" s="14">
        <f t="shared" si="46"/>
        <v>1705.98</v>
      </c>
      <c r="G558" s="412"/>
      <c r="H558" s="2"/>
      <c r="I558" s="34"/>
      <c r="J558" s="2"/>
      <c r="K558" s="326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89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89"/>
      <c r="BJ558" s="305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</row>
    <row r="559" spans="1:113" s="15" customFormat="1" ht="20.25" customHeight="1" x14ac:dyDescent="0.2">
      <c r="A559" s="250" t="s">
        <v>376</v>
      </c>
      <c r="B559" s="98" t="s">
        <v>377</v>
      </c>
      <c r="C559" s="384" t="s">
        <v>228</v>
      </c>
      <c r="D559" s="13">
        <f>1641.31*1.05</f>
        <v>1723.38</v>
      </c>
      <c r="E559" s="14">
        <f t="shared" si="45"/>
        <v>344.68</v>
      </c>
      <c r="F559" s="14">
        <f t="shared" si="46"/>
        <v>2068.06</v>
      </c>
      <c r="G559" s="412"/>
      <c r="H559" s="2"/>
      <c r="I559" s="34"/>
      <c r="J559" s="2"/>
      <c r="K559" s="326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89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89"/>
      <c r="BJ559" s="305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</row>
    <row r="560" spans="1:113" s="15" customFormat="1" ht="20.25" customHeight="1" x14ac:dyDescent="0.2">
      <c r="A560" s="250" t="s">
        <v>378</v>
      </c>
      <c r="B560" s="98" t="s">
        <v>379</v>
      </c>
      <c r="C560" s="384" t="s">
        <v>228</v>
      </c>
      <c r="D560" s="13">
        <f>1426.37*1.05</f>
        <v>1497.69</v>
      </c>
      <c r="E560" s="14">
        <f t="shared" si="45"/>
        <v>299.54000000000002</v>
      </c>
      <c r="F560" s="14">
        <f t="shared" si="46"/>
        <v>1797.23</v>
      </c>
      <c r="G560" s="412"/>
      <c r="H560" s="2"/>
      <c r="I560" s="34"/>
      <c r="J560" s="2"/>
      <c r="K560" s="326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89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89"/>
      <c r="BJ560" s="305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</row>
    <row r="561" spans="1:113" s="15" customFormat="1" ht="22.5" customHeight="1" x14ac:dyDescent="0.2">
      <c r="A561" s="250" t="s">
        <v>380</v>
      </c>
      <c r="B561" s="98" t="s">
        <v>381</v>
      </c>
      <c r="C561" s="384" t="s">
        <v>228</v>
      </c>
      <c r="D561" s="13">
        <f>1426.37*1.05</f>
        <v>1497.69</v>
      </c>
      <c r="E561" s="14">
        <f t="shared" si="45"/>
        <v>299.54000000000002</v>
      </c>
      <c r="F561" s="14">
        <f t="shared" si="46"/>
        <v>1797.23</v>
      </c>
      <c r="G561" s="412"/>
      <c r="H561" s="2"/>
      <c r="I561" s="34"/>
      <c r="J561" s="2"/>
      <c r="K561" s="326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89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89"/>
      <c r="BJ561" s="305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</row>
    <row r="562" spans="1:113" s="15" customFormat="1" ht="21.75" customHeight="1" x14ac:dyDescent="0.2">
      <c r="A562" s="250" t="s">
        <v>382</v>
      </c>
      <c r="B562" s="98" t="s">
        <v>383</v>
      </c>
      <c r="C562" s="384" t="s">
        <v>228</v>
      </c>
      <c r="D562" s="13">
        <f>1426.37*1.05</f>
        <v>1497.69</v>
      </c>
      <c r="E562" s="14">
        <f t="shared" si="45"/>
        <v>299.54000000000002</v>
      </c>
      <c r="F562" s="14">
        <f t="shared" si="46"/>
        <v>1797.23</v>
      </c>
      <c r="G562" s="412"/>
      <c r="H562" s="2"/>
      <c r="I562" s="34"/>
      <c r="J562" s="2"/>
      <c r="K562" s="326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89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89"/>
      <c r="BJ562" s="305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</row>
    <row r="563" spans="1:113" s="15" customFormat="1" ht="21.75" customHeight="1" x14ac:dyDescent="0.2">
      <c r="A563" s="250" t="s">
        <v>384</v>
      </c>
      <c r="B563" s="98" t="s">
        <v>385</v>
      </c>
      <c r="C563" s="384" t="s">
        <v>228</v>
      </c>
      <c r="D563" s="13">
        <f>1544.93*1.05</f>
        <v>1622.18</v>
      </c>
      <c r="E563" s="14">
        <f t="shared" si="45"/>
        <v>324.44</v>
      </c>
      <c r="F563" s="14">
        <f t="shared" si="46"/>
        <v>1946.62</v>
      </c>
      <c r="G563" s="412"/>
      <c r="H563" s="2"/>
      <c r="I563" s="34"/>
      <c r="J563" s="2"/>
      <c r="K563" s="326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89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413" t="s">
        <v>334</v>
      </c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89"/>
      <c r="BJ563" s="305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</row>
    <row r="564" spans="1:113" s="15" customFormat="1" ht="21.75" customHeight="1" x14ac:dyDescent="0.2">
      <c r="A564" s="250" t="s">
        <v>386</v>
      </c>
      <c r="B564" s="98" t="s">
        <v>387</v>
      </c>
      <c r="C564" s="384" t="s">
        <v>228</v>
      </c>
      <c r="D564" s="13">
        <f>1352.43*1.05</f>
        <v>1420.05</v>
      </c>
      <c r="E564" s="14">
        <f t="shared" si="45"/>
        <v>284.01</v>
      </c>
      <c r="F564" s="14">
        <f t="shared" si="46"/>
        <v>1704.06</v>
      </c>
      <c r="G564" s="412"/>
      <c r="H564" s="2"/>
      <c r="I564" s="34"/>
      <c r="J564" s="2"/>
      <c r="K564" s="326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89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413" t="s">
        <v>334</v>
      </c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89"/>
      <c r="BJ564" s="305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</row>
    <row r="565" spans="1:113" s="15" customFormat="1" ht="21.75" customHeight="1" x14ac:dyDescent="0.2">
      <c r="A565" s="250" t="s">
        <v>388</v>
      </c>
      <c r="B565" s="102" t="s">
        <v>389</v>
      </c>
      <c r="C565" s="384" t="s">
        <v>228</v>
      </c>
      <c r="D565" s="13">
        <f>2040.74*1.05</f>
        <v>2142.7800000000002</v>
      </c>
      <c r="E565" s="14">
        <f>D565*20%</f>
        <v>428.56</v>
      </c>
      <c r="F565" s="14">
        <f>D565+E565</f>
        <v>2571.34</v>
      </c>
      <c r="G565" s="412"/>
      <c r="H565" s="2"/>
      <c r="I565" s="34"/>
      <c r="J565" s="2"/>
      <c r="K565" s="326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89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413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89"/>
      <c r="BJ565" s="305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</row>
    <row r="566" spans="1:113" s="15" customFormat="1" ht="32.25" customHeight="1" x14ac:dyDescent="0.2">
      <c r="A566" s="396" t="s">
        <v>390</v>
      </c>
      <c r="B566" s="457" t="s">
        <v>1936</v>
      </c>
      <c r="C566" s="457"/>
      <c r="D566" s="457"/>
      <c r="E566" s="457"/>
      <c r="F566" s="457"/>
      <c r="G566" s="412"/>
      <c r="H566" s="2"/>
      <c r="I566" s="34"/>
      <c r="J566" s="2"/>
      <c r="K566" s="326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89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89"/>
      <c r="BJ566" s="305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</row>
    <row r="567" spans="1:113" s="15" customFormat="1" ht="21.75" customHeight="1" x14ac:dyDescent="0.2">
      <c r="A567" s="250" t="s">
        <v>391</v>
      </c>
      <c r="B567" s="98" t="s">
        <v>392</v>
      </c>
      <c r="C567" s="384" t="s">
        <v>228</v>
      </c>
      <c r="D567" s="13">
        <f>5251.67*1.05</f>
        <v>5514.25</v>
      </c>
      <c r="E567" s="14">
        <f t="shared" ref="E567:E610" si="47">D567*20%</f>
        <v>1102.8499999999999</v>
      </c>
      <c r="F567" s="14">
        <f t="shared" ref="F567:F610" si="48">D567+E567</f>
        <v>6617.1</v>
      </c>
      <c r="G567" s="412"/>
      <c r="H567" s="2"/>
      <c r="I567" s="34"/>
      <c r="J567" s="2"/>
      <c r="K567" s="326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89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89"/>
      <c r="BJ567" s="305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</row>
    <row r="568" spans="1:113" s="15" customFormat="1" ht="23.25" customHeight="1" x14ac:dyDescent="0.2">
      <c r="A568" s="250" t="s">
        <v>393</v>
      </c>
      <c r="B568" s="98" t="s">
        <v>394</v>
      </c>
      <c r="C568" s="384" t="s">
        <v>228</v>
      </c>
      <c r="D568" s="13">
        <f>5417.52*1.05</f>
        <v>5688.4</v>
      </c>
      <c r="E568" s="14">
        <f t="shared" si="47"/>
        <v>1137.68</v>
      </c>
      <c r="F568" s="14">
        <f t="shared" si="48"/>
        <v>6826.08</v>
      </c>
      <c r="G568" s="412"/>
      <c r="H568" s="2"/>
      <c r="I568" s="34"/>
      <c r="J568" s="2"/>
      <c r="K568" s="326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89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89"/>
      <c r="BJ568" s="305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</row>
    <row r="569" spans="1:113" s="15" customFormat="1" ht="20.25" customHeight="1" x14ac:dyDescent="0.2">
      <c r="A569" s="250" t="s">
        <v>395</v>
      </c>
      <c r="B569" s="98" t="s">
        <v>396</v>
      </c>
      <c r="C569" s="384" t="s">
        <v>228</v>
      </c>
      <c r="D569" s="13">
        <f>5417.52*1.05</f>
        <v>5688.4</v>
      </c>
      <c r="E569" s="14">
        <f t="shared" si="47"/>
        <v>1137.68</v>
      </c>
      <c r="F569" s="14">
        <f t="shared" si="48"/>
        <v>6826.08</v>
      </c>
      <c r="G569" s="412"/>
      <c r="H569" s="2"/>
      <c r="I569" s="34"/>
      <c r="J569" s="2"/>
      <c r="K569" s="326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89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89"/>
      <c r="BJ569" s="305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</row>
    <row r="570" spans="1:113" s="15" customFormat="1" ht="35.25" customHeight="1" x14ac:dyDescent="0.2">
      <c r="A570" s="250" t="s">
        <v>397</v>
      </c>
      <c r="B570" s="98" t="s">
        <v>398</v>
      </c>
      <c r="C570" s="384" t="s">
        <v>228</v>
      </c>
      <c r="D570" s="13">
        <f>5133.6*1.05</f>
        <v>5390.28</v>
      </c>
      <c r="E570" s="14">
        <f t="shared" si="47"/>
        <v>1078.06</v>
      </c>
      <c r="F570" s="14">
        <f t="shared" si="48"/>
        <v>6468.34</v>
      </c>
      <c r="G570" s="412"/>
      <c r="H570" s="2"/>
      <c r="I570" s="34"/>
      <c r="J570" s="2"/>
      <c r="K570" s="326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89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89"/>
      <c r="BJ570" s="305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</row>
    <row r="571" spans="1:113" s="15" customFormat="1" ht="20.25" customHeight="1" x14ac:dyDescent="0.2">
      <c r="A571" s="250" t="s">
        <v>399</v>
      </c>
      <c r="B571" s="98" t="s">
        <v>400</v>
      </c>
      <c r="C571" s="384" t="s">
        <v>228</v>
      </c>
      <c r="D571" s="13">
        <f>5771.57*1.05</f>
        <v>6060.15</v>
      </c>
      <c r="E571" s="14">
        <f t="shared" si="47"/>
        <v>1212.03</v>
      </c>
      <c r="F571" s="14">
        <f t="shared" si="48"/>
        <v>7272.18</v>
      </c>
      <c r="G571" s="412"/>
      <c r="H571" s="2"/>
      <c r="I571" s="34"/>
      <c r="J571" s="2"/>
      <c r="K571" s="326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89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89"/>
      <c r="BJ571" s="305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</row>
    <row r="572" spans="1:113" s="15" customFormat="1" ht="17.25" customHeight="1" x14ac:dyDescent="0.2">
      <c r="A572" s="250" t="s">
        <v>401</v>
      </c>
      <c r="B572" s="98" t="s">
        <v>402</v>
      </c>
      <c r="C572" s="384" t="s">
        <v>228</v>
      </c>
      <c r="D572" s="13">
        <f>5771.57*1.05</f>
        <v>6060.15</v>
      </c>
      <c r="E572" s="14">
        <f t="shared" si="47"/>
        <v>1212.03</v>
      </c>
      <c r="F572" s="14">
        <f t="shared" si="48"/>
        <v>7272.18</v>
      </c>
      <c r="G572" s="412"/>
      <c r="H572" s="2"/>
      <c r="I572" s="34"/>
      <c r="J572" s="2"/>
      <c r="K572" s="326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89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89"/>
      <c r="BJ572" s="305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</row>
    <row r="573" spans="1:113" s="15" customFormat="1" ht="18" customHeight="1" x14ac:dyDescent="0.2">
      <c r="A573" s="250" t="s">
        <v>403</v>
      </c>
      <c r="B573" s="98" t="s">
        <v>404</v>
      </c>
      <c r="C573" s="384" t="s">
        <v>228</v>
      </c>
      <c r="D573" s="13">
        <f>5417.52*1.05</f>
        <v>5688.4</v>
      </c>
      <c r="E573" s="14">
        <f t="shared" si="47"/>
        <v>1137.68</v>
      </c>
      <c r="F573" s="14">
        <f t="shared" si="48"/>
        <v>6826.08</v>
      </c>
      <c r="G573" s="412"/>
      <c r="H573" s="2"/>
      <c r="I573" s="34"/>
      <c r="J573" s="2"/>
      <c r="K573" s="326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89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89"/>
      <c r="BJ573" s="305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</row>
    <row r="574" spans="1:113" s="15" customFormat="1" ht="19.5" customHeight="1" x14ac:dyDescent="0.2">
      <c r="A574" s="250" t="s">
        <v>405</v>
      </c>
      <c r="B574" s="98" t="s">
        <v>406</v>
      </c>
      <c r="C574" s="384" t="s">
        <v>228</v>
      </c>
      <c r="D574" s="13">
        <f>5771.57*1.05</f>
        <v>6060.15</v>
      </c>
      <c r="E574" s="14">
        <f t="shared" si="47"/>
        <v>1212.03</v>
      </c>
      <c r="F574" s="14">
        <f t="shared" si="48"/>
        <v>7272.18</v>
      </c>
      <c r="G574" s="412"/>
      <c r="H574" s="2"/>
      <c r="I574" s="34"/>
      <c r="J574" s="2"/>
      <c r="K574" s="326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89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89"/>
      <c r="BJ574" s="305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</row>
    <row r="575" spans="1:113" s="15" customFormat="1" ht="19.5" customHeight="1" x14ac:dyDescent="0.2">
      <c r="A575" s="250" t="s">
        <v>407</v>
      </c>
      <c r="B575" s="98" t="s">
        <v>408</v>
      </c>
      <c r="C575" s="384" t="s">
        <v>228</v>
      </c>
      <c r="D575" s="13">
        <f>5771.57*1.05</f>
        <v>6060.15</v>
      </c>
      <c r="E575" s="14">
        <f t="shared" si="47"/>
        <v>1212.03</v>
      </c>
      <c r="F575" s="14">
        <f t="shared" si="48"/>
        <v>7272.18</v>
      </c>
      <c r="G575" s="412"/>
      <c r="H575" s="2"/>
      <c r="I575" s="34"/>
      <c r="J575" s="2"/>
      <c r="K575" s="326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89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89"/>
      <c r="BJ575" s="305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</row>
    <row r="576" spans="1:113" s="15" customFormat="1" ht="20.25" customHeight="1" x14ac:dyDescent="0.2">
      <c r="A576" s="250" t="s">
        <v>409</v>
      </c>
      <c r="B576" s="98" t="s">
        <v>1990</v>
      </c>
      <c r="C576" s="384" t="s">
        <v>228</v>
      </c>
      <c r="D576" s="13">
        <f>5251.67*1.05</f>
        <v>5514.25</v>
      </c>
      <c r="E576" s="14">
        <f t="shared" si="47"/>
        <v>1102.8499999999999</v>
      </c>
      <c r="F576" s="14">
        <f t="shared" si="48"/>
        <v>6617.1</v>
      </c>
      <c r="G576" s="412"/>
      <c r="H576" s="2"/>
      <c r="I576" s="34"/>
      <c r="J576" s="2"/>
      <c r="K576" s="326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89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452" t="s">
        <v>410</v>
      </c>
      <c r="AL576" s="452"/>
      <c r="AM576" s="452"/>
      <c r="AN576" s="452"/>
      <c r="AO576" s="45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89"/>
      <c r="BJ576" s="305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</row>
    <row r="577" spans="1:113" s="15" customFormat="1" ht="19.5" customHeight="1" x14ac:dyDescent="0.2">
      <c r="A577" s="250" t="s">
        <v>1986</v>
      </c>
      <c r="B577" s="98" t="s">
        <v>1988</v>
      </c>
      <c r="C577" s="384" t="s">
        <v>228</v>
      </c>
      <c r="D577" s="13">
        <f>4306.57*1.05</f>
        <v>4521.8999999999996</v>
      </c>
      <c r="E577" s="14">
        <f t="shared" si="47"/>
        <v>904.38</v>
      </c>
      <c r="F577" s="14">
        <f t="shared" si="48"/>
        <v>5426.28</v>
      </c>
      <c r="G577" s="412"/>
      <c r="H577" s="2"/>
      <c r="I577" s="34"/>
      <c r="J577" s="2"/>
      <c r="K577" s="326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89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398"/>
      <c r="AL577" s="398"/>
      <c r="AM577" s="398"/>
      <c r="AN577" s="398"/>
      <c r="AO577" s="398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89"/>
      <c r="BJ577" s="305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</row>
    <row r="578" spans="1:113" s="15" customFormat="1" ht="20.25" customHeight="1" x14ac:dyDescent="0.2">
      <c r="A578" s="250" t="s">
        <v>1987</v>
      </c>
      <c r="B578" s="98" t="s">
        <v>1989</v>
      </c>
      <c r="C578" s="384" t="s">
        <v>228</v>
      </c>
      <c r="D578" s="13">
        <f>4500.66*1.05</f>
        <v>4725.6899999999996</v>
      </c>
      <c r="E578" s="14">
        <f t="shared" si="47"/>
        <v>945.14</v>
      </c>
      <c r="F578" s="14">
        <f t="shared" si="48"/>
        <v>5670.83</v>
      </c>
      <c r="G578" s="412"/>
      <c r="H578" s="2"/>
      <c r="I578" s="34"/>
      <c r="J578" s="2"/>
      <c r="K578" s="326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89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398"/>
      <c r="AL578" s="398"/>
      <c r="AM578" s="398"/>
      <c r="AN578" s="398"/>
      <c r="AO578" s="398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89"/>
      <c r="BJ578" s="305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</row>
    <row r="579" spans="1:113" s="15" customFormat="1" ht="25.5" customHeight="1" x14ac:dyDescent="0.2">
      <c r="A579" s="250" t="s">
        <v>411</v>
      </c>
      <c r="B579" s="103" t="s">
        <v>412</v>
      </c>
      <c r="C579" s="384" t="s">
        <v>228</v>
      </c>
      <c r="D579" s="13">
        <f>5563.88*1.05</f>
        <v>5842.07</v>
      </c>
      <c r="E579" s="14">
        <f t="shared" si="47"/>
        <v>1168.4100000000001</v>
      </c>
      <c r="F579" s="14">
        <f t="shared" si="48"/>
        <v>7010.48</v>
      </c>
      <c r="G579" s="412"/>
      <c r="H579" s="2"/>
      <c r="I579" s="34"/>
      <c r="J579" s="2"/>
      <c r="K579" s="326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89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398"/>
      <c r="AL579" s="398"/>
      <c r="AM579" s="398"/>
      <c r="AN579" s="398"/>
      <c r="AO579" s="398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89"/>
      <c r="BJ579" s="305"/>
      <c r="BK579" s="453" t="s">
        <v>413</v>
      </c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</row>
    <row r="580" spans="1:113" s="15" customFormat="1" ht="30" customHeight="1" x14ac:dyDescent="0.2">
      <c r="A580" s="250" t="s">
        <v>414</v>
      </c>
      <c r="B580" s="103" t="s">
        <v>415</v>
      </c>
      <c r="C580" s="384" t="s">
        <v>228</v>
      </c>
      <c r="D580" s="13">
        <f>5737.83*1.05</f>
        <v>6024.72</v>
      </c>
      <c r="E580" s="14">
        <f t="shared" si="47"/>
        <v>1204.94</v>
      </c>
      <c r="F580" s="14">
        <f t="shared" si="48"/>
        <v>7229.66</v>
      </c>
      <c r="G580" s="412"/>
      <c r="H580" s="2"/>
      <c r="I580" s="34"/>
      <c r="J580" s="2"/>
      <c r="K580" s="326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89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398"/>
      <c r="AL580" s="398"/>
      <c r="AM580" s="398"/>
      <c r="AN580" s="398"/>
      <c r="AO580" s="398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89"/>
      <c r="BJ580" s="305"/>
      <c r="BK580" s="453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</row>
    <row r="581" spans="1:113" s="15" customFormat="1" ht="18.75" customHeight="1" x14ac:dyDescent="0.2">
      <c r="A581" s="250" t="s">
        <v>1930</v>
      </c>
      <c r="B581" s="103" t="s">
        <v>1935</v>
      </c>
      <c r="C581" s="384" t="s">
        <v>228</v>
      </c>
      <c r="D581" s="13">
        <f>6071.7*1.05</f>
        <v>6375.29</v>
      </c>
      <c r="E581" s="14">
        <f t="shared" si="47"/>
        <v>1275.06</v>
      </c>
      <c r="F581" s="14">
        <f t="shared" si="48"/>
        <v>7650.35</v>
      </c>
      <c r="G581" s="412"/>
      <c r="H581" s="2"/>
      <c r="I581" s="34"/>
      <c r="J581" s="2"/>
      <c r="K581" s="326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89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398"/>
      <c r="AL581" s="398"/>
      <c r="AM581" s="398"/>
      <c r="AN581" s="398"/>
      <c r="AO581" s="398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89"/>
      <c r="BJ581" s="305"/>
      <c r="BK581" s="399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</row>
    <row r="582" spans="1:113" s="15" customFormat="1" ht="20.25" customHeight="1" x14ac:dyDescent="0.2">
      <c r="A582" s="250" t="s">
        <v>1931</v>
      </c>
      <c r="B582" s="103" t="s">
        <v>1937</v>
      </c>
      <c r="C582" s="384" t="s">
        <v>228</v>
      </c>
      <c r="D582" s="13">
        <f>6090.5*1.05</f>
        <v>6395.03</v>
      </c>
      <c r="E582" s="14">
        <f t="shared" si="47"/>
        <v>1279.01</v>
      </c>
      <c r="F582" s="14">
        <f t="shared" si="48"/>
        <v>7674.04</v>
      </c>
      <c r="G582" s="412"/>
      <c r="H582" s="2"/>
      <c r="I582" s="34"/>
      <c r="J582" s="2"/>
      <c r="K582" s="326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89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398"/>
      <c r="AL582" s="398"/>
      <c r="AM582" s="398"/>
      <c r="AN582" s="398"/>
      <c r="AO582" s="398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89"/>
      <c r="BJ582" s="305"/>
      <c r="BK582" s="399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</row>
    <row r="583" spans="1:113" s="15" customFormat="1" ht="32.25" customHeight="1" x14ac:dyDescent="0.2">
      <c r="A583" s="250" t="s">
        <v>1932</v>
      </c>
      <c r="B583" s="103" t="s">
        <v>1938</v>
      </c>
      <c r="C583" s="384" t="s">
        <v>228</v>
      </c>
      <c r="D583" s="13">
        <f>6044.73*1.05</f>
        <v>6346.97</v>
      </c>
      <c r="E583" s="14">
        <f t="shared" si="47"/>
        <v>1269.3900000000001</v>
      </c>
      <c r="F583" s="14">
        <f t="shared" si="48"/>
        <v>7616.36</v>
      </c>
      <c r="G583" s="412"/>
      <c r="H583" s="2"/>
      <c r="I583" s="34"/>
      <c r="J583" s="2"/>
      <c r="K583" s="326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89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398"/>
      <c r="AL583" s="398"/>
      <c r="AM583" s="398"/>
      <c r="AN583" s="398"/>
      <c r="AO583" s="398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89"/>
      <c r="BJ583" s="305"/>
      <c r="BK583" s="399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</row>
    <row r="584" spans="1:113" s="15" customFormat="1" ht="19.5" customHeight="1" x14ac:dyDescent="0.2">
      <c r="A584" s="250" t="s">
        <v>1933</v>
      </c>
      <c r="B584" s="103" t="s">
        <v>1939</v>
      </c>
      <c r="C584" s="384" t="s">
        <v>228</v>
      </c>
      <c r="D584" s="13">
        <f>5715.5*1.05</f>
        <v>6001.28</v>
      </c>
      <c r="E584" s="14">
        <f t="shared" si="47"/>
        <v>1200.26</v>
      </c>
      <c r="F584" s="14">
        <f t="shared" si="48"/>
        <v>7201.54</v>
      </c>
      <c r="G584" s="412"/>
      <c r="H584" s="2"/>
      <c r="I584" s="34"/>
      <c r="J584" s="2"/>
      <c r="K584" s="326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89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398"/>
      <c r="AL584" s="398"/>
      <c r="AM584" s="398"/>
      <c r="AN584" s="398"/>
      <c r="AO584" s="398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89"/>
      <c r="BJ584" s="305"/>
      <c r="BK584" s="399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</row>
    <row r="585" spans="1:113" s="15" customFormat="1" ht="21.75" customHeight="1" x14ac:dyDescent="0.2">
      <c r="A585" s="250" t="s">
        <v>1934</v>
      </c>
      <c r="B585" s="103" t="s">
        <v>1940</v>
      </c>
      <c r="C585" s="384" t="s">
        <v>228</v>
      </c>
      <c r="D585" s="13">
        <f>5715.5*1.05</f>
        <v>6001.28</v>
      </c>
      <c r="E585" s="14">
        <f t="shared" si="47"/>
        <v>1200.26</v>
      </c>
      <c r="F585" s="14">
        <f t="shared" si="48"/>
        <v>7201.54</v>
      </c>
      <c r="G585" s="412"/>
      <c r="H585" s="2"/>
      <c r="I585" s="34"/>
      <c r="J585" s="2"/>
      <c r="K585" s="326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89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398"/>
      <c r="AL585" s="398"/>
      <c r="AM585" s="398"/>
      <c r="AN585" s="398"/>
      <c r="AO585" s="398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89"/>
      <c r="BJ585" s="305"/>
      <c r="BK585" s="399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</row>
    <row r="586" spans="1:113" s="15" customFormat="1" ht="35.25" customHeight="1" x14ac:dyDescent="0.2">
      <c r="A586" s="250" t="s">
        <v>2244</v>
      </c>
      <c r="B586" s="103" t="s">
        <v>2234</v>
      </c>
      <c r="C586" s="384" t="s">
        <v>228</v>
      </c>
      <c r="D586" s="85">
        <v>12854.77</v>
      </c>
      <c r="E586" s="14">
        <f t="shared" si="47"/>
        <v>2570.9499999999998</v>
      </c>
      <c r="F586" s="14">
        <f t="shared" si="48"/>
        <v>15425.72</v>
      </c>
      <c r="G586" s="412"/>
      <c r="H586" s="2"/>
      <c r="I586" s="34"/>
      <c r="J586" s="2"/>
      <c r="K586" s="326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89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398"/>
      <c r="AL586" s="398"/>
      <c r="AM586" s="398"/>
      <c r="AN586" s="398"/>
      <c r="AO586" s="398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89"/>
      <c r="BJ586" s="305"/>
      <c r="BK586" s="399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</row>
    <row r="587" spans="1:113" s="15" customFormat="1" ht="35.25" customHeight="1" x14ac:dyDescent="0.2">
      <c r="A587" s="250" t="s">
        <v>2245</v>
      </c>
      <c r="B587" s="103" t="s">
        <v>2235</v>
      </c>
      <c r="C587" s="384" t="s">
        <v>228</v>
      </c>
      <c r="D587" s="298">
        <v>12233.84</v>
      </c>
      <c r="E587" s="14">
        <f t="shared" si="47"/>
        <v>2446.77</v>
      </c>
      <c r="F587" s="14">
        <f t="shared" si="48"/>
        <v>14680.61</v>
      </c>
      <c r="G587" s="412"/>
      <c r="H587" s="2"/>
      <c r="I587" s="34"/>
      <c r="J587" s="2"/>
      <c r="K587" s="326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89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398"/>
      <c r="AL587" s="398"/>
      <c r="AM587" s="398"/>
      <c r="AN587" s="398"/>
      <c r="AO587" s="398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89"/>
      <c r="BJ587" s="305"/>
      <c r="BK587" s="399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</row>
    <row r="588" spans="1:113" s="15" customFormat="1" ht="35.25" customHeight="1" x14ac:dyDescent="0.2">
      <c r="A588" s="250" t="s">
        <v>2246</v>
      </c>
      <c r="B588" s="103" t="s">
        <v>2236</v>
      </c>
      <c r="C588" s="384" t="s">
        <v>228</v>
      </c>
      <c r="D588" s="298">
        <v>3065.81</v>
      </c>
      <c r="E588" s="14">
        <f t="shared" si="47"/>
        <v>613.16</v>
      </c>
      <c r="F588" s="14">
        <f t="shared" si="48"/>
        <v>3678.97</v>
      </c>
      <c r="G588" s="412"/>
      <c r="H588" s="2"/>
      <c r="I588" s="34"/>
      <c r="J588" s="2"/>
      <c r="K588" s="326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89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398"/>
      <c r="AL588" s="398"/>
      <c r="AM588" s="398"/>
      <c r="AN588" s="398"/>
      <c r="AO588" s="398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89"/>
      <c r="BJ588" s="305"/>
      <c r="BK588" s="399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</row>
    <row r="589" spans="1:113" s="15" customFormat="1" ht="35.25" customHeight="1" x14ac:dyDescent="0.2">
      <c r="A589" s="250" t="s">
        <v>2247</v>
      </c>
      <c r="B589" s="103" t="s">
        <v>2237</v>
      </c>
      <c r="C589" s="384" t="s">
        <v>228</v>
      </c>
      <c r="D589" s="298">
        <v>12483.74</v>
      </c>
      <c r="E589" s="14">
        <f t="shared" si="47"/>
        <v>2496.75</v>
      </c>
      <c r="F589" s="14">
        <f t="shared" si="48"/>
        <v>14980.49</v>
      </c>
      <c r="G589" s="412"/>
      <c r="H589" s="2"/>
      <c r="I589" s="34"/>
      <c r="J589" s="2"/>
      <c r="K589" s="326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89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398"/>
      <c r="AL589" s="398"/>
      <c r="AM589" s="398"/>
      <c r="AN589" s="398"/>
      <c r="AO589" s="398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89"/>
      <c r="BJ589" s="305"/>
      <c r="BK589" s="399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</row>
    <row r="590" spans="1:113" s="15" customFormat="1" ht="45.75" customHeight="1" x14ac:dyDescent="0.2">
      <c r="A590" s="250" t="s">
        <v>2248</v>
      </c>
      <c r="B590" s="103" t="s">
        <v>2238</v>
      </c>
      <c r="C590" s="384" t="s">
        <v>228</v>
      </c>
      <c r="D590" s="298">
        <v>12573.42</v>
      </c>
      <c r="E590" s="14">
        <f t="shared" si="47"/>
        <v>2514.6799999999998</v>
      </c>
      <c r="F590" s="14">
        <f t="shared" si="48"/>
        <v>15088.1</v>
      </c>
      <c r="G590" s="412"/>
      <c r="H590" s="2"/>
      <c r="I590" s="34"/>
      <c r="J590" s="2"/>
      <c r="K590" s="326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89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398"/>
      <c r="AL590" s="398"/>
      <c r="AM590" s="398"/>
      <c r="AN590" s="398"/>
      <c r="AO590" s="398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89"/>
      <c r="BJ590" s="305"/>
      <c r="BK590" s="399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</row>
    <row r="591" spans="1:113" s="15" customFormat="1" ht="48.75" customHeight="1" x14ac:dyDescent="0.2">
      <c r="A591" s="250" t="s">
        <v>2249</v>
      </c>
      <c r="B591" s="103" t="s">
        <v>2239</v>
      </c>
      <c r="C591" s="384" t="s">
        <v>228</v>
      </c>
      <c r="D591" s="298">
        <v>10908.54</v>
      </c>
      <c r="E591" s="14">
        <f t="shared" si="47"/>
        <v>2181.71</v>
      </c>
      <c r="F591" s="14">
        <f t="shared" si="48"/>
        <v>13090.25</v>
      </c>
      <c r="G591" s="412"/>
      <c r="H591" s="2"/>
      <c r="I591" s="34"/>
      <c r="J591" s="2"/>
      <c r="K591" s="326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89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398"/>
      <c r="AL591" s="398"/>
      <c r="AM591" s="398"/>
      <c r="AN591" s="398"/>
      <c r="AO591" s="398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89"/>
      <c r="BJ591" s="305"/>
      <c r="BK591" s="399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</row>
    <row r="592" spans="1:113" s="15" customFormat="1" ht="35.25" customHeight="1" x14ac:dyDescent="0.2">
      <c r="A592" s="250" t="s">
        <v>2250</v>
      </c>
      <c r="B592" s="103" t="s">
        <v>2240</v>
      </c>
      <c r="C592" s="384" t="s">
        <v>228</v>
      </c>
      <c r="D592" s="298">
        <v>12945.24</v>
      </c>
      <c r="E592" s="14">
        <f t="shared" si="47"/>
        <v>2589.0500000000002</v>
      </c>
      <c r="F592" s="14">
        <f t="shared" si="48"/>
        <v>15534.29</v>
      </c>
      <c r="G592" s="412"/>
      <c r="H592" s="2"/>
      <c r="I592" s="34"/>
      <c r="J592" s="2"/>
      <c r="K592" s="326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89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398"/>
      <c r="AL592" s="398"/>
      <c r="AM592" s="398"/>
      <c r="AN592" s="398"/>
      <c r="AO592" s="398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89"/>
      <c r="BJ592" s="305"/>
      <c r="BK592" s="399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</row>
    <row r="593" spans="1:113" s="15" customFormat="1" ht="35.25" customHeight="1" x14ac:dyDescent="0.2">
      <c r="A593" s="250" t="s">
        <v>2251</v>
      </c>
      <c r="B593" s="103" t="s">
        <v>2241</v>
      </c>
      <c r="C593" s="384" t="s">
        <v>228</v>
      </c>
      <c r="D593" s="298">
        <v>5425.65</v>
      </c>
      <c r="E593" s="14">
        <f t="shared" si="47"/>
        <v>1085.1300000000001</v>
      </c>
      <c r="F593" s="14">
        <f t="shared" si="48"/>
        <v>6510.78</v>
      </c>
      <c r="G593" s="412"/>
      <c r="H593" s="2"/>
      <c r="I593" s="34"/>
      <c r="J593" s="2"/>
      <c r="K593" s="326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89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398"/>
      <c r="AL593" s="398"/>
      <c r="AM593" s="398"/>
      <c r="AN593" s="398"/>
      <c r="AO593" s="398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89"/>
      <c r="BJ593" s="305"/>
      <c r="BK593" s="399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</row>
    <row r="594" spans="1:113" s="15" customFormat="1" ht="35.25" customHeight="1" x14ac:dyDescent="0.2">
      <c r="A594" s="250" t="s">
        <v>2252</v>
      </c>
      <c r="B594" s="103" t="s">
        <v>2242</v>
      </c>
      <c r="C594" s="384" t="s">
        <v>228</v>
      </c>
      <c r="D594" s="298">
        <v>7147.07</v>
      </c>
      <c r="E594" s="14">
        <f t="shared" si="47"/>
        <v>1429.41</v>
      </c>
      <c r="F594" s="14">
        <f t="shared" si="48"/>
        <v>8576.48</v>
      </c>
      <c r="G594" s="412"/>
      <c r="H594" s="2"/>
      <c r="I594" s="34"/>
      <c r="J594" s="2"/>
      <c r="K594" s="326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89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398"/>
      <c r="AL594" s="398"/>
      <c r="AM594" s="398"/>
      <c r="AN594" s="398"/>
      <c r="AO594" s="398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89"/>
      <c r="BJ594" s="305"/>
      <c r="BK594" s="399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</row>
    <row r="595" spans="1:113" s="15" customFormat="1" ht="35.25" customHeight="1" x14ac:dyDescent="0.2">
      <c r="A595" s="250" t="s">
        <v>2253</v>
      </c>
      <c r="B595" s="103" t="s">
        <v>2243</v>
      </c>
      <c r="C595" s="384" t="s">
        <v>228</v>
      </c>
      <c r="D595" s="298">
        <v>5488.61</v>
      </c>
      <c r="E595" s="14">
        <f t="shared" si="47"/>
        <v>1097.72</v>
      </c>
      <c r="F595" s="14">
        <f t="shared" si="48"/>
        <v>6586.33</v>
      </c>
      <c r="G595" s="412"/>
      <c r="H595" s="2"/>
      <c r="I595" s="34"/>
      <c r="J595" s="2"/>
      <c r="K595" s="326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89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398"/>
      <c r="AL595" s="398"/>
      <c r="AM595" s="398"/>
      <c r="AN595" s="398"/>
      <c r="AO595" s="398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89"/>
      <c r="BJ595" s="305"/>
      <c r="BK595" s="399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</row>
    <row r="596" spans="1:113" s="15" customFormat="1" ht="35.25" customHeight="1" x14ac:dyDescent="0.2">
      <c r="A596" s="250" t="s">
        <v>2313</v>
      </c>
      <c r="B596" s="103" t="s">
        <v>2286</v>
      </c>
      <c r="C596" s="384" t="s">
        <v>228</v>
      </c>
      <c r="D596" s="298">
        <v>7837.44</v>
      </c>
      <c r="E596" s="14">
        <f t="shared" ref="E596:E606" si="49">D596*20%</f>
        <v>1567.49</v>
      </c>
      <c r="F596" s="14">
        <f t="shared" ref="F596:F606" si="50">D596+E596</f>
        <v>9404.93</v>
      </c>
      <c r="G596" s="412"/>
      <c r="H596" s="2"/>
      <c r="I596" s="34"/>
      <c r="J596" s="2"/>
      <c r="K596" s="326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89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398"/>
      <c r="AL596" s="398"/>
      <c r="AM596" s="398"/>
      <c r="AN596" s="398"/>
      <c r="AO596" s="398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89"/>
      <c r="BJ596" s="305"/>
      <c r="BK596" s="399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</row>
    <row r="597" spans="1:113" s="15" customFormat="1" ht="35.25" customHeight="1" x14ac:dyDescent="0.2">
      <c r="A597" s="250" t="s">
        <v>2314</v>
      </c>
      <c r="B597" s="103" t="s">
        <v>2287</v>
      </c>
      <c r="C597" s="384" t="s">
        <v>228</v>
      </c>
      <c r="D597" s="298">
        <v>8963.56</v>
      </c>
      <c r="E597" s="14">
        <f t="shared" si="49"/>
        <v>1792.71</v>
      </c>
      <c r="F597" s="14">
        <f t="shared" si="50"/>
        <v>10756.27</v>
      </c>
      <c r="G597" s="412"/>
      <c r="H597" s="2"/>
      <c r="I597" s="34"/>
      <c r="J597" s="2"/>
      <c r="K597" s="326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89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398"/>
      <c r="AL597" s="398"/>
      <c r="AM597" s="398"/>
      <c r="AN597" s="398"/>
      <c r="AO597" s="398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89"/>
      <c r="BJ597" s="305"/>
      <c r="BK597" s="399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</row>
    <row r="598" spans="1:113" s="15" customFormat="1" ht="35.25" customHeight="1" x14ac:dyDescent="0.2">
      <c r="A598" s="250" t="s">
        <v>2315</v>
      </c>
      <c r="B598" s="103" t="s">
        <v>2288</v>
      </c>
      <c r="C598" s="384" t="s">
        <v>228</v>
      </c>
      <c r="D598" s="298">
        <v>8500.9500000000007</v>
      </c>
      <c r="E598" s="14">
        <f t="shared" si="49"/>
        <v>1700.19</v>
      </c>
      <c r="F598" s="14">
        <f t="shared" si="50"/>
        <v>10201.14</v>
      </c>
      <c r="G598" s="412"/>
      <c r="H598" s="2"/>
      <c r="I598" s="34"/>
      <c r="J598" s="2"/>
      <c r="K598" s="326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89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398"/>
      <c r="AL598" s="398"/>
      <c r="AM598" s="398"/>
      <c r="AN598" s="398"/>
      <c r="AO598" s="398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89"/>
      <c r="BJ598" s="305"/>
      <c r="BK598" s="399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</row>
    <row r="599" spans="1:113" s="15" customFormat="1" ht="35.25" customHeight="1" x14ac:dyDescent="0.2">
      <c r="A599" s="250" t="s">
        <v>2316</v>
      </c>
      <c r="B599" s="103" t="s">
        <v>2289</v>
      </c>
      <c r="C599" s="384" t="s">
        <v>228</v>
      </c>
      <c r="D599" s="298">
        <v>7279.53</v>
      </c>
      <c r="E599" s="14">
        <f t="shared" si="49"/>
        <v>1455.91</v>
      </c>
      <c r="F599" s="14">
        <f t="shared" si="50"/>
        <v>8735.44</v>
      </c>
      <c r="G599" s="412"/>
      <c r="H599" s="2"/>
      <c r="I599" s="34"/>
      <c r="J599" s="2"/>
      <c r="K599" s="326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89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398"/>
      <c r="AL599" s="398"/>
      <c r="AM599" s="398"/>
      <c r="AN599" s="398"/>
      <c r="AO599" s="398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89"/>
      <c r="BJ599" s="305"/>
      <c r="BK599" s="399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</row>
    <row r="600" spans="1:113" s="15" customFormat="1" ht="35.25" customHeight="1" x14ac:dyDescent="0.2">
      <c r="A600" s="250" t="s">
        <v>2317</v>
      </c>
      <c r="B600" s="103" t="s">
        <v>2290</v>
      </c>
      <c r="C600" s="384" t="s">
        <v>228</v>
      </c>
      <c r="D600" s="298">
        <v>6996.46</v>
      </c>
      <c r="E600" s="14">
        <f t="shared" si="49"/>
        <v>1399.29</v>
      </c>
      <c r="F600" s="14">
        <f t="shared" si="50"/>
        <v>8395.75</v>
      </c>
      <c r="G600" s="412"/>
      <c r="H600" s="2"/>
      <c r="I600" s="34"/>
      <c r="J600" s="2"/>
      <c r="K600" s="326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89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398"/>
      <c r="AL600" s="398"/>
      <c r="AM600" s="398"/>
      <c r="AN600" s="398"/>
      <c r="AO600" s="398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89"/>
      <c r="BJ600" s="305"/>
      <c r="BK600" s="399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</row>
    <row r="601" spans="1:113" s="15" customFormat="1" ht="44.25" customHeight="1" x14ac:dyDescent="0.2">
      <c r="A601" s="250" t="s">
        <v>2318</v>
      </c>
      <c r="B601" s="103" t="s">
        <v>2291</v>
      </c>
      <c r="C601" s="384" t="s">
        <v>228</v>
      </c>
      <c r="D601" s="298">
        <v>7363.94</v>
      </c>
      <c r="E601" s="14">
        <f t="shared" si="49"/>
        <v>1472.79</v>
      </c>
      <c r="F601" s="14">
        <f t="shared" si="50"/>
        <v>8836.73</v>
      </c>
      <c r="G601" s="412"/>
      <c r="H601" s="2"/>
      <c r="I601" s="34"/>
      <c r="J601" s="2"/>
      <c r="K601" s="326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89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398"/>
      <c r="AL601" s="398"/>
      <c r="AM601" s="398"/>
      <c r="AN601" s="398"/>
      <c r="AO601" s="398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89"/>
      <c r="BJ601" s="305"/>
      <c r="BK601" s="399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</row>
    <row r="602" spans="1:113" s="15" customFormat="1" ht="35.25" customHeight="1" x14ac:dyDescent="0.2">
      <c r="A602" s="250" t="s">
        <v>2319</v>
      </c>
      <c r="B602" s="103" t="s">
        <v>2292</v>
      </c>
      <c r="C602" s="384" t="s">
        <v>228</v>
      </c>
      <c r="D602" s="298">
        <v>7463.37</v>
      </c>
      <c r="E602" s="14">
        <f t="shared" si="49"/>
        <v>1492.67</v>
      </c>
      <c r="F602" s="14">
        <f t="shared" si="50"/>
        <v>8956.0400000000009</v>
      </c>
      <c r="G602" s="412"/>
      <c r="H602" s="2"/>
      <c r="I602" s="34"/>
      <c r="J602" s="2"/>
      <c r="K602" s="326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89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398"/>
      <c r="AL602" s="398"/>
      <c r="AM602" s="398"/>
      <c r="AN602" s="398"/>
      <c r="AO602" s="398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89"/>
      <c r="BJ602" s="305"/>
      <c r="BK602" s="399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</row>
    <row r="603" spans="1:113" s="15" customFormat="1" ht="39.75" customHeight="1" x14ac:dyDescent="0.2">
      <c r="A603" s="250" t="s">
        <v>2320</v>
      </c>
      <c r="B603" s="103" t="s">
        <v>2293</v>
      </c>
      <c r="C603" s="384" t="s">
        <v>228</v>
      </c>
      <c r="D603" s="298">
        <v>9010.7900000000009</v>
      </c>
      <c r="E603" s="14">
        <f t="shared" si="49"/>
        <v>1802.16</v>
      </c>
      <c r="F603" s="14">
        <f t="shared" si="50"/>
        <v>10812.95</v>
      </c>
      <c r="G603" s="412"/>
      <c r="H603" s="2"/>
      <c r="I603" s="34"/>
      <c r="J603" s="2"/>
      <c r="K603" s="326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89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398"/>
      <c r="AL603" s="398"/>
      <c r="AM603" s="398"/>
      <c r="AN603" s="398"/>
      <c r="AO603" s="398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89"/>
      <c r="BJ603" s="305"/>
      <c r="BK603" s="399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</row>
    <row r="604" spans="1:113" s="15" customFormat="1" ht="48.75" customHeight="1" x14ac:dyDescent="0.2">
      <c r="A604" s="250" t="s">
        <v>2321</v>
      </c>
      <c r="B604" s="103" t="s">
        <v>2294</v>
      </c>
      <c r="C604" s="384" t="s">
        <v>228</v>
      </c>
      <c r="D604" s="298">
        <v>13272.96</v>
      </c>
      <c r="E604" s="14">
        <f t="shared" si="49"/>
        <v>2654.59</v>
      </c>
      <c r="F604" s="14">
        <f t="shared" si="50"/>
        <v>15927.55</v>
      </c>
      <c r="G604" s="412"/>
      <c r="H604" s="2"/>
      <c r="I604" s="34"/>
      <c r="J604" s="2"/>
      <c r="K604" s="326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89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398"/>
      <c r="AL604" s="398"/>
      <c r="AM604" s="398"/>
      <c r="AN604" s="398"/>
      <c r="AO604" s="398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89"/>
      <c r="BJ604" s="305"/>
      <c r="BK604" s="399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</row>
    <row r="605" spans="1:113" s="15" customFormat="1" ht="48.75" customHeight="1" x14ac:dyDescent="0.2">
      <c r="A605" s="250" t="s">
        <v>2322</v>
      </c>
      <c r="B605" s="103" t="s">
        <v>2295</v>
      </c>
      <c r="C605" s="384" t="s">
        <v>228</v>
      </c>
      <c r="D605" s="298">
        <v>13219.28</v>
      </c>
      <c r="E605" s="14">
        <f t="shared" si="49"/>
        <v>2643.86</v>
      </c>
      <c r="F605" s="14">
        <f t="shared" si="50"/>
        <v>15863.14</v>
      </c>
      <c r="G605" s="412"/>
      <c r="H605" s="2"/>
      <c r="I605" s="34"/>
      <c r="J605" s="2"/>
      <c r="K605" s="326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89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398"/>
      <c r="AL605" s="398"/>
      <c r="AM605" s="398"/>
      <c r="AN605" s="398"/>
      <c r="AO605" s="398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89"/>
      <c r="BJ605" s="305"/>
      <c r="BK605" s="399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</row>
    <row r="606" spans="1:113" s="15" customFormat="1" ht="48.75" customHeight="1" x14ac:dyDescent="0.2">
      <c r="A606" s="250" t="s">
        <v>2323</v>
      </c>
      <c r="B606" s="103" t="s">
        <v>2296</v>
      </c>
      <c r="C606" s="384" t="s">
        <v>228</v>
      </c>
      <c r="D606" s="298">
        <v>13249.42</v>
      </c>
      <c r="E606" s="14">
        <f t="shared" si="49"/>
        <v>2649.88</v>
      </c>
      <c r="F606" s="14">
        <f t="shared" si="50"/>
        <v>15899.3</v>
      </c>
      <c r="G606" s="412"/>
      <c r="H606" s="2"/>
      <c r="I606" s="34"/>
      <c r="J606" s="2"/>
      <c r="K606" s="326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89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398"/>
      <c r="AL606" s="398"/>
      <c r="AM606" s="398"/>
      <c r="AN606" s="398"/>
      <c r="AO606" s="398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89"/>
      <c r="BJ606" s="305"/>
      <c r="BK606" s="399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</row>
    <row r="607" spans="1:113" s="15" customFormat="1" ht="30.75" customHeight="1" x14ac:dyDescent="0.2">
      <c r="A607" s="250" t="s">
        <v>416</v>
      </c>
      <c r="B607" s="98" t="s">
        <v>417</v>
      </c>
      <c r="C607" s="384" t="s">
        <v>228</v>
      </c>
      <c r="D607" s="101">
        <f>845.5*1.05</f>
        <v>887.78</v>
      </c>
      <c r="E607" s="14">
        <f t="shared" si="47"/>
        <v>177.56</v>
      </c>
      <c r="F607" s="97">
        <f t="shared" si="48"/>
        <v>1065.3399999999999</v>
      </c>
      <c r="G607" s="412"/>
      <c r="H607" s="2"/>
      <c r="I607" s="34"/>
      <c r="J607" s="2"/>
      <c r="K607" s="326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89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 t="s">
        <v>418</v>
      </c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89"/>
      <c r="BJ607" s="305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</row>
    <row r="608" spans="1:113" s="15" customFormat="1" ht="18" customHeight="1" x14ac:dyDescent="0.2">
      <c r="A608" s="250" t="s">
        <v>419</v>
      </c>
      <c r="B608" s="98" t="s">
        <v>420</v>
      </c>
      <c r="C608" s="384" t="s">
        <v>228</v>
      </c>
      <c r="D608" s="13">
        <f>1016.95*1.05</f>
        <v>1067.8</v>
      </c>
      <c r="E608" s="14">
        <f t="shared" si="47"/>
        <v>213.56</v>
      </c>
      <c r="F608" s="14">
        <f t="shared" si="48"/>
        <v>1281.3599999999999</v>
      </c>
      <c r="G608" s="412"/>
      <c r="H608" s="2"/>
      <c r="I608" s="34"/>
      <c r="J608" s="2"/>
      <c r="K608" s="326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89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89"/>
      <c r="BJ608" s="305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</row>
    <row r="609" spans="1:113" s="15" customFormat="1" ht="19.5" customHeight="1" x14ac:dyDescent="0.2">
      <c r="A609" s="250" t="s">
        <v>421</v>
      </c>
      <c r="B609" s="98" t="s">
        <v>422</v>
      </c>
      <c r="C609" s="384" t="s">
        <v>228</v>
      </c>
      <c r="D609" s="13">
        <f>8787.3*1.05</f>
        <v>9226.67</v>
      </c>
      <c r="E609" s="14">
        <f t="shared" si="47"/>
        <v>1845.33</v>
      </c>
      <c r="F609" s="14">
        <f t="shared" si="48"/>
        <v>11072</v>
      </c>
      <c r="G609" s="412"/>
      <c r="H609" s="2"/>
      <c r="I609" s="34"/>
      <c r="J609" s="2"/>
      <c r="K609" s="326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89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89"/>
      <c r="BJ609" s="305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</row>
    <row r="610" spans="1:113" s="15" customFormat="1" ht="35.25" customHeight="1" x14ac:dyDescent="0.2">
      <c r="A610" s="250" t="s">
        <v>423</v>
      </c>
      <c r="B610" s="98" t="s">
        <v>424</v>
      </c>
      <c r="C610" s="384" t="s">
        <v>228</v>
      </c>
      <c r="D610" s="13">
        <f>983.47*1.05</f>
        <v>1032.6400000000001</v>
      </c>
      <c r="E610" s="14">
        <f t="shared" si="47"/>
        <v>206.53</v>
      </c>
      <c r="F610" s="14">
        <f t="shared" si="48"/>
        <v>1239.17</v>
      </c>
      <c r="G610" s="412"/>
      <c r="H610" s="2"/>
      <c r="I610" s="34"/>
      <c r="J610" s="2"/>
      <c r="K610" s="326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89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89"/>
      <c r="BJ610" s="305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</row>
    <row r="611" spans="1:113" s="15" customFormat="1" ht="35.25" customHeight="1" x14ac:dyDescent="0.2">
      <c r="A611" s="250" t="s">
        <v>425</v>
      </c>
      <c r="B611" s="98" t="s">
        <v>426</v>
      </c>
      <c r="C611" s="384" t="s">
        <v>228</v>
      </c>
      <c r="D611" s="13">
        <f>1995.7*1.05</f>
        <v>2095.4899999999998</v>
      </c>
      <c r="E611" s="14">
        <f>D611*20%</f>
        <v>419.1</v>
      </c>
      <c r="F611" s="14">
        <f>D611+E611</f>
        <v>2514.59</v>
      </c>
      <c r="G611" s="412"/>
      <c r="H611" s="2"/>
      <c r="I611" s="34"/>
      <c r="J611" s="2"/>
      <c r="K611" s="326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89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89"/>
      <c r="BJ611" s="305"/>
      <c r="BK611" s="342" t="s">
        <v>427</v>
      </c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</row>
    <row r="612" spans="1:113" s="15" customFormat="1" ht="22.5" customHeight="1" x14ac:dyDescent="0.2">
      <c r="A612" s="250"/>
      <c r="B612" s="429" t="s">
        <v>428</v>
      </c>
      <c r="C612" s="429"/>
      <c r="D612" s="429"/>
      <c r="E612" s="429"/>
      <c r="F612" s="429"/>
      <c r="G612" s="412"/>
      <c r="H612" s="2"/>
      <c r="I612" s="34"/>
      <c r="J612" s="2"/>
      <c r="K612" s="326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89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89"/>
      <c r="BJ612" s="305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</row>
    <row r="613" spans="1:113" s="15" customFormat="1" ht="34.5" customHeight="1" x14ac:dyDescent="0.2">
      <c r="A613" s="250" t="s">
        <v>429</v>
      </c>
      <c r="B613" s="381" t="s">
        <v>430</v>
      </c>
      <c r="C613" s="384" t="s">
        <v>228</v>
      </c>
      <c r="D613" s="13">
        <f>2238.36*1.05</f>
        <v>2350.2800000000002</v>
      </c>
      <c r="E613" s="14">
        <f>D613*20%</f>
        <v>470.06</v>
      </c>
      <c r="F613" s="97">
        <f>D613+E613</f>
        <v>2820.34</v>
      </c>
      <c r="G613" s="412"/>
      <c r="H613" s="2"/>
      <c r="I613" s="34"/>
      <c r="J613" s="2"/>
      <c r="K613" s="326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89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89"/>
      <c r="BJ613" s="305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</row>
    <row r="614" spans="1:113" s="15" customFormat="1" ht="30.75" customHeight="1" x14ac:dyDescent="0.2">
      <c r="A614" s="250" t="s">
        <v>431</v>
      </c>
      <c r="B614" s="381" t="s">
        <v>432</v>
      </c>
      <c r="C614" s="384" t="s">
        <v>228</v>
      </c>
      <c r="D614" s="13">
        <f>2107.69*1.05</f>
        <v>2213.0700000000002</v>
      </c>
      <c r="E614" s="14">
        <f>D614*20%</f>
        <v>442.61</v>
      </c>
      <c r="F614" s="97">
        <f>D614+E614</f>
        <v>2655.68</v>
      </c>
      <c r="G614" s="412"/>
      <c r="H614" s="2"/>
      <c r="I614" s="34"/>
      <c r="J614" s="2"/>
      <c r="K614" s="326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89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89"/>
      <c r="BJ614" s="305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</row>
    <row r="615" spans="1:113" s="15" customFormat="1" ht="20.25" customHeight="1" x14ac:dyDescent="0.2">
      <c r="A615" s="250" t="s">
        <v>433</v>
      </c>
      <c r="B615" s="381" t="s">
        <v>434</v>
      </c>
      <c r="C615" s="384" t="s">
        <v>228</v>
      </c>
      <c r="D615" s="13">
        <f>2313.55*1.05</f>
        <v>2429.23</v>
      </c>
      <c r="E615" s="14">
        <f>D615*20%</f>
        <v>485.85</v>
      </c>
      <c r="F615" s="97">
        <f>D615+E615</f>
        <v>2915.08</v>
      </c>
      <c r="G615" s="412"/>
      <c r="H615" s="2"/>
      <c r="I615" s="34"/>
      <c r="J615" s="2"/>
      <c r="K615" s="326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89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89"/>
      <c r="BJ615" s="305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</row>
    <row r="616" spans="1:113" s="15" customFormat="1" ht="30.75" customHeight="1" x14ac:dyDescent="0.2">
      <c r="A616" s="250" t="s">
        <v>435</v>
      </c>
      <c r="B616" s="104" t="s">
        <v>436</v>
      </c>
      <c r="C616" s="384" t="s">
        <v>228</v>
      </c>
      <c r="D616" s="13">
        <f>2313.55*1.05</f>
        <v>2429.23</v>
      </c>
      <c r="E616" s="14">
        <f t="shared" ref="E616:E638" si="51">D616*20%</f>
        <v>485.85</v>
      </c>
      <c r="F616" s="97">
        <f t="shared" ref="F616:F638" si="52">D616+E616</f>
        <v>2915.08</v>
      </c>
      <c r="G616" s="412"/>
      <c r="H616" s="2"/>
      <c r="I616" s="34"/>
      <c r="J616" s="2"/>
      <c r="K616" s="326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89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89"/>
      <c r="BJ616" s="305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</row>
    <row r="617" spans="1:113" s="15" customFormat="1" ht="34.5" customHeight="1" x14ac:dyDescent="0.2">
      <c r="A617" s="250" t="s">
        <v>437</v>
      </c>
      <c r="B617" s="104" t="s">
        <v>438</v>
      </c>
      <c r="C617" s="384" t="s">
        <v>228</v>
      </c>
      <c r="D617" s="13">
        <f>2250.88*1.05</f>
        <v>2363.42</v>
      </c>
      <c r="E617" s="14">
        <f t="shared" si="51"/>
        <v>472.68</v>
      </c>
      <c r="F617" s="97">
        <f t="shared" si="52"/>
        <v>2836.1</v>
      </c>
      <c r="G617" s="412"/>
      <c r="H617" s="2"/>
      <c r="I617" s="34"/>
      <c r="J617" s="2"/>
      <c r="K617" s="326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89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89"/>
      <c r="BJ617" s="305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</row>
    <row r="618" spans="1:113" s="15" customFormat="1" ht="32.25" customHeight="1" x14ac:dyDescent="0.2">
      <c r="A618" s="250" t="s">
        <v>439</v>
      </c>
      <c r="B618" s="104" t="s">
        <v>440</v>
      </c>
      <c r="C618" s="384" t="s">
        <v>228</v>
      </c>
      <c r="D618" s="13">
        <f>2313.55*1.05</f>
        <v>2429.23</v>
      </c>
      <c r="E618" s="14">
        <f t="shared" si="51"/>
        <v>485.85</v>
      </c>
      <c r="F618" s="97">
        <f t="shared" si="52"/>
        <v>2915.08</v>
      </c>
      <c r="G618" s="412"/>
      <c r="H618" s="2"/>
      <c r="I618" s="34"/>
      <c r="J618" s="2"/>
      <c r="K618" s="326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89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89"/>
      <c r="BJ618" s="305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</row>
    <row r="619" spans="1:113" s="15" customFormat="1" ht="36.75" customHeight="1" x14ac:dyDescent="0.2">
      <c r="A619" s="250" t="s">
        <v>441</v>
      </c>
      <c r="B619" s="104" t="s">
        <v>442</v>
      </c>
      <c r="C619" s="384" t="s">
        <v>228</v>
      </c>
      <c r="D619" s="13">
        <f t="shared" ref="D619:D623" si="53">2313.55*1.05</f>
        <v>2429.23</v>
      </c>
      <c r="E619" s="14">
        <f t="shared" si="51"/>
        <v>485.85</v>
      </c>
      <c r="F619" s="97">
        <f t="shared" si="52"/>
        <v>2915.08</v>
      </c>
      <c r="G619" s="412"/>
      <c r="H619" s="2"/>
      <c r="I619" s="34"/>
      <c r="J619" s="2"/>
      <c r="K619" s="326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89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89"/>
      <c r="BJ619" s="305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</row>
    <row r="620" spans="1:113" s="15" customFormat="1" ht="33" customHeight="1" x14ac:dyDescent="0.2">
      <c r="A620" s="250" t="s">
        <v>443</v>
      </c>
      <c r="B620" s="104" t="s">
        <v>444</v>
      </c>
      <c r="C620" s="384" t="s">
        <v>228</v>
      </c>
      <c r="D620" s="13">
        <f t="shared" si="53"/>
        <v>2429.23</v>
      </c>
      <c r="E620" s="14">
        <f t="shared" si="51"/>
        <v>485.85</v>
      </c>
      <c r="F620" s="97">
        <f t="shared" si="52"/>
        <v>2915.08</v>
      </c>
      <c r="G620" s="412"/>
      <c r="H620" s="2"/>
      <c r="I620" s="34"/>
      <c r="J620" s="2"/>
      <c r="K620" s="326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89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89"/>
      <c r="BJ620" s="305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</row>
    <row r="621" spans="1:113" s="15" customFormat="1" ht="33" customHeight="1" x14ac:dyDescent="0.2">
      <c r="A621" s="250" t="s">
        <v>445</v>
      </c>
      <c r="B621" s="104" t="s">
        <v>446</v>
      </c>
      <c r="C621" s="384" t="s">
        <v>228</v>
      </c>
      <c r="D621" s="13">
        <f t="shared" si="53"/>
        <v>2429.23</v>
      </c>
      <c r="E621" s="14">
        <f t="shared" si="51"/>
        <v>485.85</v>
      </c>
      <c r="F621" s="97">
        <f t="shared" si="52"/>
        <v>2915.08</v>
      </c>
      <c r="G621" s="412"/>
      <c r="H621" s="2"/>
      <c r="I621" s="34"/>
      <c r="J621" s="2"/>
      <c r="K621" s="326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89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89"/>
      <c r="BJ621" s="305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</row>
    <row r="622" spans="1:113" s="15" customFormat="1" ht="31.5" customHeight="1" x14ac:dyDescent="0.2">
      <c r="A622" s="250" t="s">
        <v>447</v>
      </c>
      <c r="B622" s="104" t="s">
        <v>448</v>
      </c>
      <c r="C622" s="384" t="s">
        <v>228</v>
      </c>
      <c r="D622" s="13">
        <f t="shared" si="53"/>
        <v>2429.23</v>
      </c>
      <c r="E622" s="14">
        <f t="shared" si="51"/>
        <v>485.85</v>
      </c>
      <c r="F622" s="97">
        <f t="shared" si="52"/>
        <v>2915.08</v>
      </c>
      <c r="G622" s="412"/>
      <c r="H622" s="2"/>
      <c r="I622" s="34"/>
      <c r="J622" s="2"/>
      <c r="K622" s="326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89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89"/>
      <c r="BJ622" s="305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</row>
    <row r="623" spans="1:113" s="15" customFormat="1" ht="30.75" customHeight="1" x14ac:dyDescent="0.2">
      <c r="A623" s="250" t="s">
        <v>449</v>
      </c>
      <c r="B623" s="104" t="s">
        <v>450</v>
      </c>
      <c r="C623" s="384" t="s">
        <v>228</v>
      </c>
      <c r="D623" s="13">
        <f t="shared" si="53"/>
        <v>2429.23</v>
      </c>
      <c r="E623" s="14">
        <f t="shared" si="51"/>
        <v>485.85</v>
      </c>
      <c r="F623" s="97">
        <f t="shared" si="52"/>
        <v>2915.08</v>
      </c>
      <c r="G623" s="412"/>
      <c r="H623" s="2"/>
      <c r="I623" s="34"/>
      <c r="J623" s="2"/>
      <c r="K623" s="326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89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89"/>
      <c r="BJ623" s="305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</row>
    <row r="624" spans="1:113" s="15" customFormat="1" ht="33.75" customHeight="1" x14ac:dyDescent="0.2">
      <c r="A624" s="250" t="s">
        <v>451</v>
      </c>
      <c r="B624" s="105" t="s">
        <v>452</v>
      </c>
      <c r="C624" s="384" t="s">
        <v>228</v>
      </c>
      <c r="D624" s="13">
        <f>2196.91*1.05</f>
        <v>2306.7600000000002</v>
      </c>
      <c r="E624" s="14">
        <f t="shared" si="51"/>
        <v>461.35</v>
      </c>
      <c r="F624" s="97">
        <f t="shared" si="52"/>
        <v>2768.11</v>
      </c>
      <c r="G624" s="412"/>
      <c r="H624" s="2"/>
      <c r="I624" s="34"/>
      <c r="J624" s="2"/>
      <c r="K624" s="326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89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89"/>
      <c r="BJ624" s="305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</row>
    <row r="625" spans="1:113" s="15" customFormat="1" ht="33.75" customHeight="1" x14ac:dyDescent="0.2">
      <c r="A625" s="250" t="s">
        <v>453</v>
      </c>
      <c r="B625" s="104" t="s">
        <v>2006</v>
      </c>
      <c r="C625" s="384" t="s">
        <v>228</v>
      </c>
      <c r="D625" s="13">
        <f>2196.91*1.05</f>
        <v>2306.7600000000002</v>
      </c>
      <c r="E625" s="14">
        <f t="shared" si="51"/>
        <v>461.35</v>
      </c>
      <c r="F625" s="97">
        <f t="shared" si="52"/>
        <v>2768.11</v>
      </c>
      <c r="G625" s="412"/>
      <c r="H625" s="2"/>
      <c r="I625" s="34"/>
      <c r="J625" s="2"/>
      <c r="K625" s="326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89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89"/>
      <c r="BJ625" s="305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</row>
    <row r="626" spans="1:113" s="15" customFormat="1" ht="33.75" customHeight="1" x14ac:dyDescent="0.2">
      <c r="A626" s="250" t="s">
        <v>454</v>
      </c>
      <c r="B626" s="104" t="s">
        <v>2007</v>
      </c>
      <c r="C626" s="384" t="s">
        <v>228</v>
      </c>
      <c r="D626" s="13">
        <f t="shared" ref="D626:D628" si="54">2196.91*1.05</f>
        <v>2306.7600000000002</v>
      </c>
      <c r="E626" s="14">
        <f t="shared" si="51"/>
        <v>461.35</v>
      </c>
      <c r="F626" s="97">
        <f t="shared" si="52"/>
        <v>2768.11</v>
      </c>
      <c r="G626" s="412"/>
      <c r="H626" s="2"/>
      <c r="I626" s="34"/>
      <c r="J626" s="2"/>
      <c r="K626" s="326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89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89"/>
      <c r="BJ626" s="305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</row>
    <row r="627" spans="1:113" s="15" customFormat="1" ht="33.75" customHeight="1" x14ac:dyDescent="0.2">
      <c r="A627" s="250" t="s">
        <v>2023</v>
      </c>
      <c r="B627" s="104" t="s">
        <v>2008</v>
      </c>
      <c r="C627" s="384" t="s">
        <v>228</v>
      </c>
      <c r="D627" s="13">
        <f t="shared" si="54"/>
        <v>2306.7600000000002</v>
      </c>
      <c r="E627" s="14">
        <f t="shared" si="51"/>
        <v>461.35</v>
      </c>
      <c r="F627" s="97">
        <f t="shared" si="52"/>
        <v>2768.11</v>
      </c>
      <c r="G627" s="412"/>
      <c r="H627" s="2"/>
      <c r="I627" s="34"/>
      <c r="J627" s="2"/>
      <c r="K627" s="326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89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89"/>
      <c r="BJ627" s="305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</row>
    <row r="628" spans="1:113" s="15" customFormat="1" ht="33.75" customHeight="1" x14ac:dyDescent="0.2">
      <c r="A628" s="250" t="s">
        <v>2024</v>
      </c>
      <c r="B628" s="104" t="s">
        <v>2021</v>
      </c>
      <c r="C628" s="384" t="s">
        <v>228</v>
      </c>
      <c r="D628" s="13">
        <f t="shared" si="54"/>
        <v>2306.7600000000002</v>
      </c>
      <c r="E628" s="14">
        <f t="shared" si="51"/>
        <v>461.35</v>
      </c>
      <c r="F628" s="97">
        <f t="shared" si="52"/>
        <v>2768.11</v>
      </c>
      <c r="G628" s="412"/>
      <c r="H628" s="2"/>
      <c r="I628" s="34"/>
      <c r="J628" s="2"/>
      <c r="K628" s="326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89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89"/>
      <c r="BJ628" s="305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</row>
    <row r="629" spans="1:113" s="15" customFormat="1" ht="33.75" customHeight="1" x14ac:dyDescent="0.2">
      <c r="A629" s="250" t="s">
        <v>2025</v>
      </c>
      <c r="B629" s="104" t="s">
        <v>2017</v>
      </c>
      <c r="C629" s="384" t="s">
        <v>228</v>
      </c>
      <c r="D629" s="13">
        <f>2196.91*1.05</f>
        <v>2306.7600000000002</v>
      </c>
      <c r="E629" s="14">
        <f t="shared" si="51"/>
        <v>461.35</v>
      </c>
      <c r="F629" s="97">
        <f t="shared" si="52"/>
        <v>2768.11</v>
      </c>
      <c r="G629" s="412"/>
      <c r="H629" s="2"/>
      <c r="I629" s="34"/>
      <c r="J629" s="2"/>
      <c r="K629" s="326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89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89"/>
      <c r="BJ629" s="305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</row>
    <row r="630" spans="1:113" s="15" customFormat="1" ht="33.75" customHeight="1" x14ac:dyDescent="0.2">
      <c r="A630" s="250" t="s">
        <v>2026</v>
      </c>
      <c r="B630" s="104" t="s">
        <v>2018</v>
      </c>
      <c r="C630" s="384" t="s">
        <v>228</v>
      </c>
      <c r="D630" s="13">
        <f t="shared" ref="D630:D634" si="55">2196.91*1.05</f>
        <v>2306.7600000000002</v>
      </c>
      <c r="E630" s="14">
        <f t="shared" si="51"/>
        <v>461.35</v>
      </c>
      <c r="F630" s="97">
        <f t="shared" si="52"/>
        <v>2768.11</v>
      </c>
      <c r="G630" s="412"/>
      <c r="H630" s="2"/>
      <c r="I630" s="34"/>
      <c r="J630" s="2"/>
      <c r="K630" s="326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89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89"/>
      <c r="BJ630" s="305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</row>
    <row r="631" spans="1:113" s="15" customFormat="1" ht="33.75" customHeight="1" x14ac:dyDescent="0.2">
      <c r="A631" s="250" t="s">
        <v>2027</v>
      </c>
      <c r="B631" s="104" t="s">
        <v>2019</v>
      </c>
      <c r="C631" s="384" t="s">
        <v>228</v>
      </c>
      <c r="D631" s="13">
        <f t="shared" si="55"/>
        <v>2306.7600000000002</v>
      </c>
      <c r="E631" s="14">
        <f t="shared" si="51"/>
        <v>461.35</v>
      </c>
      <c r="F631" s="97">
        <f t="shared" si="52"/>
        <v>2768.11</v>
      </c>
      <c r="G631" s="412"/>
      <c r="H631" s="2"/>
      <c r="I631" s="34"/>
      <c r="J631" s="2"/>
      <c r="K631" s="326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89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89"/>
      <c r="BJ631" s="305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</row>
    <row r="632" spans="1:113" s="15" customFormat="1" ht="33.75" customHeight="1" x14ac:dyDescent="0.2">
      <c r="A632" s="250" t="s">
        <v>2028</v>
      </c>
      <c r="B632" s="104" t="s">
        <v>2022</v>
      </c>
      <c r="C632" s="384" t="s">
        <v>228</v>
      </c>
      <c r="D632" s="13">
        <f t="shared" si="55"/>
        <v>2306.7600000000002</v>
      </c>
      <c r="E632" s="14">
        <f t="shared" si="51"/>
        <v>461.35</v>
      </c>
      <c r="F632" s="97">
        <f t="shared" si="52"/>
        <v>2768.11</v>
      </c>
      <c r="G632" s="412"/>
      <c r="H632" s="2"/>
      <c r="I632" s="34"/>
      <c r="J632" s="2"/>
      <c r="K632" s="326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89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89"/>
      <c r="BJ632" s="305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</row>
    <row r="633" spans="1:113" s="15" customFormat="1" ht="33.75" customHeight="1" x14ac:dyDescent="0.2">
      <c r="A633" s="250" t="s">
        <v>2255</v>
      </c>
      <c r="B633" s="104" t="s">
        <v>2258</v>
      </c>
      <c r="C633" s="384" t="s">
        <v>228</v>
      </c>
      <c r="D633" s="13">
        <f t="shared" si="55"/>
        <v>2306.7600000000002</v>
      </c>
      <c r="E633" s="14">
        <f t="shared" si="51"/>
        <v>461.35</v>
      </c>
      <c r="F633" s="97">
        <f t="shared" si="52"/>
        <v>2768.11</v>
      </c>
      <c r="G633" s="412"/>
      <c r="H633" s="2"/>
      <c r="I633" s="34"/>
      <c r="J633" s="2"/>
      <c r="K633" s="326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89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89"/>
      <c r="BJ633" s="305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</row>
    <row r="634" spans="1:113" s="15" customFormat="1" ht="33.75" customHeight="1" x14ac:dyDescent="0.2">
      <c r="A634" s="250" t="s">
        <v>2256</v>
      </c>
      <c r="B634" s="104" t="s">
        <v>2257</v>
      </c>
      <c r="C634" s="384" t="s">
        <v>228</v>
      </c>
      <c r="D634" s="13">
        <f t="shared" si="55"/>
        <v>2306.7600000000002</v>
      </c>
      <c r="E634" s="14">
        <f t="shared" si="51"/>
        <v>461.35</v>
      </c>
      <c r="F634" s="97">
        <f t="shared" si="52"/>
        <v>2768.11</v>
      </c>
      <c r="G634" s="412"/>
      <c r="H634" s="2"/>
      <c r="I634" s="34"/>
      <c r="J634" s="2"/>
      <c r="K634" s="326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89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89"/>
      <c r="BJ634" s="305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</row>
    <row r="635" spans="1:113" s="15" customFormat="1" ht="48" customHeight="1" x14ac:dyDescent="0.2">
      <c r="A635" s="250" t="s">
        <v>455</v>
      </c>
      <c r="B635" s="104" t="s">
        <v>456</v>
      </c>
      <c r="C635" s="384" t="s">
        <v>228</v>
      </c>
      <c r="D635" s="13">
        <f>2015.48*1.05</f>
        <v>2116.25</v>
      </c>
      <c r="E635" s="14">
        <f t="shared" si="51"/>
        <v>423.25</v>
      </c>
      <c r="F635" s="97">
        <f t="shared" si="52"/>
        <v>2539.5</v>
      </c>
      <c r="G635" s="412"/>
      <c r="H635" s="2"/>
      <c r="I635" s="34"/>
      <c r="J635" s="2"/>
      <c r="K635" s="326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89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89"/>
      <c r="BJ635" s="305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</row>
    <row r="636" spans="1:113" s="15" customFormat="1" ht="46.5" customHeight="1" x14ac:dyDescent="0.2">
      <c r="A636" s="250" t="s">
        <v>457</v>
      </c>
      <c r="B636" s="104" t="s">
        <v>458</v>
      </c>
      <c r="C636" s="384" t="s">
        <v>228</v>
      </c>
      <c r="D636" s="13">
        <f>2130.4*1.05</f>
        <v>2236.92</v>
      </c>
      <c r="E636" s="14">
        <f t="shared" si="51"/>
        <v>447.38</v>
      </c>
      <c r="F636" s="97">
        <f t="shared" si="52"/>
        <v>2684.3</v>
      </c>
      <c r="G636" s="412"/>
      <c r="H636" s="2"/>
      <c r="I636" s="34"/>
      <c r="J636" s="2"/>
      <c r="K636" s="326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89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89"/>
      <c r="BJ636" s="305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</row>
    <row r="637" spans="1:113" s="15" customFormat="1" ht="46.5" customHeight="1" x14ac:dyDescent="0.2">
      <c r="A637" s="250" t="s">
        <v>459</v>
      </c>
      <c r="B637" s="104" t="s">
        <v>460</v>
      </c>
      <c r="C637" s="384" t="s">
        <v>228</v>
      </c>
      <c r="D637" s="13">
        <f>2140.18*1.05</f>
        <v>2247.19</v>
      </c>
      <c r="E637" s="14">
        <f t="shared" si="51"/>
        <v>449.44</v>
      </c>
      <c r="F637" s="97">
        <f t="shared" si="52"/>
        <v>2696.63</v>
      </c>
      <c r="G637" s="412"/>
      <c r="H637" s="2"/>
      <c r="I637" s="34"/>
      <c r="J637" s="2"/>
      <c r="K637" s="326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89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 t="s">
        <v>461</v>
      </c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89"/>
      <c r="BJ637" s="305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</row>
    <row r="638" spans="1:113" s="15" customFormat="1" ht="46.5" customHeight="1" x14ac:dyDescent="0.2">
      <c r="A638" s="250" t="s">
        <v>462</v>
      </c>
      <c r="B638" s="104" t="s">
        <v>463</v>
      </c>
      <c r="C638" s="384" t="s">
        <v>228</v>
      </c>
      <c r="D638" s="13">
        <f>2015.6*1.05</f>
        <v>2116.38</v>
      </c>
      <c r="E638" s="14">
        <f t="shared" si="51"/>
        <v>423.28</v>
      </c>
      <c r="F638" s="97">
        <f t="shared" si="52"/>
        <v>2539.66</v>
      </c>
      <c r="G638" s="412"/>
      <c r="H638" s="2"/>
      <c r="I638" s="34"/>
      <c r="J638" s="2"/>
      <c r="K638" s="326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89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89"/>
      <c r="BJ638" s="305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</row>
    <row r="639" spans="1:113" s="15" customFormat="1" ht="21" customHeight="1" x14ac:dyDescent="0.2">
      <c r="A639" s="396"/>
      <c r="B639" s="437" t="s">
        <v>464</v>
      </c>
      <c r="C639" s="437"/>
      <c r="D639" s="437"/>
      <c r="E639" s="437"/>
      <c r="F639" s="437"/>
      <c r="G639" s="412"/>
      <c r="H639" s="2"/>
      <c r="I639" s="34"/>
      <c r="J639" s="2"/>
      <c r="K639" s="326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89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89"/>
      <c r="BJ639" s="305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</row>
    <row r="640" spans="1:113" s="15" customFormat="1" ht="46.5" customHeight="1" x14ac:dyDescent="0.2">
      <c r="A640" s="250" t="s">
        <v>465</v>
      </c>
      <c r="B640" s="98" t="s">
        <v>466</v>
      </c>
      <c r="C640" s="384" t="s">
        <v>228</v>
      </c>
      <c r="D640" s="13">
        <f>211.21*1.05</f>
        <v>221.77</v>
      </c>
      <c r="E640" s="14">
        <f t="shared" ref="E640:E663" si="56">D640*20%</f>
        <v>44.35</v>
      </c>
      <c r="F640" s="97">
        <f t="shared" ref="F640:F661" si="57">D640+E640</f>
        <v>266.12</v>
      </c>
      <c r="G640" s="412"/>
      <c r="H640" s="2"/>
      <c r="I640" s="34"/>
      <c r="J640" s="2"/>
      <c r="K640" s="326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89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89"/>
      <c r="BJ640" s="305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</row>
    <row r="641" spans="1:113" s="15" customFormat="1" ht="46.5" customHeight="1" x14ac:dyDescent="0.2">
      <c r="A641" s="250" t="s">
        <v>467</v>
      </c>
      <c r="B641" s="98" t="s">
        <v>468</v>
      </c>
      <c r="C641" s="384" t="s">
        <v>228</v>
      </c>
      <c r="D641" s="85">
        <f>297.2*1.05</f>
        <v>312.06</v>
      </c>
      <c r="E641" s="14">
        <f t="shared" si="56"/>
        <v>62.41</v>
      </c>
      <c r="F641" s="97">
        <f t="shared" si="57"/>
        <v>374.47</v>
      </c>
      <c r="G641" s="412"/>
      <c r="H641" s="2"/>
      <c r="I641" s="34"/>
      <c r="J641" s="2"/>
      <c r="K641" s="326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89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89"/>
      <c r="BJ641" s="305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</row>
    <row r="642" spans="1:113" s="15" customFormat="1" ht="23.25" customHeight="1" x14ac:dyDescent="0.2">
      <c r="A642" s="250" t="s">
        <v>469</v>
      </c>
      <c r="B642" s="381" t="s">
        <v>470</v>
      </c>
      <c r="C642" s="384" t="s">
        <v>228</v>
      </c>
      <c r="D642" s="85">
        <f>274.46*1.05</f>
        <v>288.18</v>
      </c>
      <c r="E642" s="14">
        <f t="shared" si="56"/>
        <v>57.64</v>
      </c>
      <c r="F642" s="97">
        <f t="shared" si="57"/>
        <v>345.82</v>
      </c>
      <c r="G642" s="412"/>
      <c r="H642" s="2"/>
      <c r="I642" s="34"/>
      <c r="J642" s="2"/>
      <c r="K642" s="326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89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89"/>
      <c r="BJ642" s="305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</row>
    <row r="643" spans="1:113" s="15" customFormat="1" ht="33" customHeight="1" x14ac:dyDescent="0.2">
      <c r="A643" s="250" t="s">
        <v>471</v>
      </c>
      <c r="B643" s="98" t="s">
        <v>472</v>
      </c>
      <c r="C643" s="384" t="s">
        <v>228</v>
      </c>
      <c r="D643" s="13">
        <f>130.38*1.05</f>
        <v>136.9</v>
      </c>
      <c r="E643" s="14">
        <f t="shared" si="56"/>
        <v>27.38</v>
      </c>
      <c r="F643" s="97">
        <f t="shared" si="57"/>
        <v>164.28</v>
      </c>
      <c r="G643" s="412"/>
      <c r="H643" s="2"/>
      <c r="I643" s="34"/>
      <c r="J643" s="2"/>
      <c r="K643" s="326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89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89"/>
      <c r="BJ643" s="305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</row>
    <row r="644" spans="1:113" s="15" customFormat="1" ht="32.25" customHeight="1" x14ac:dyDescent="0.2">
      <c r="A644" s="250" t="s">
        <v>473</v>
      </c>
      <c r="B644" s="98" t="s">
        <v>474</v>
      </c>
      <c r="C644" s="384" t="s">
        <v>228</v>
      </c>
      <c r="D644" s="13">
        <f>135.6*1.05</f>
        <v>142.38</v>
      </c>
      <c r="E644" s="14">
        <f t="shared" si="56"/>
        <v>28.48</v>
      </c>
      <c r="F644" s="97">
        <f>D644+E644</f>
        <v>170.86</v>
      </c>
      <c r="G644" s="412"/>
      <c r="H644" s="2"/>
      <c r="I644" s="34"/>
      <c r="J644" s="2"/>
      <c r="K644" s="326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89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89"/>
      <c r="BJ644" s="305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</row>
    <row r="645" spans="1:113" s="15" customFormat="1" ht="29.25" customHeight="1" x14ac:dyDescent="0.2">
      <c r="A645" s="250" t="s">
        <v>475</v>
      </c>
      <c r="B645" s="381" t="s">
        <v>476</v>
      </c>
      <c r="C645" s="384" t="s">
        <v>228</v>
      </c>
      <c r="D645" s="13">
        <f>138.56*1.05</f>
        <v>145.49</v>
      </c>
      <c r="E645" s="14">
        <f t="shared" si="56"/>
        <v>29.1</v>
      </c>
      <c r="F645" s="97">
        <f t="shared" si="57"/>
        <v>174.59</v>
      </c>
      <c r="G645" s="412"/>
      <c r="H645" s="2"/>
      <c r="I645" s="34"/>
      <c r="J645" s="2"/>
      <c r="K645" s="326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89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89"/>
      <c r="BJ645" s="305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</row>
    <row r="646" spans="1:113" s="15" customFormat="1" ht="31.5" customHeight="1" x14ac:dyDescent="0.2">
      <c r="A646" s="250" t="s">
        <v>477</v>
      </c>
      <c r="B646" s="381" t="s">
        <v>478</v>
      </c>
      <c r="C646" s="384" t="s">
        <v>228</v>
      </c>
      <c r="D646" s="13">
        <f>130.38*1.05</f>
        <v>136.9</v>
      </c>
      <c r="E646" s="14">
        <f t="shared" si="56"/>
        <v>27.38</v>
      </c>
      <c r="F646" s="97">
        <f t="shared" si="57"/>
        <v>164.28</v>
      </c>
      <c r="G646" s="412"/>
      <c r="H646" s="2"/>
      <c r="I646" s="34"/>
      <c r="J646" s="2"/>
      <c r="K646" s="326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89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89"/>
      <c r="BJ646" s="305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</row>
    <row r="647" spans="1:113" s="15" customFormat="1" ht="32.25" customHeight="1" x14ac:dyDescent="0.2">
      <c r="A647" s="250" t="s">
        <v>479</v>
      </c>
      <c r="B647" s="381" t="s">
        <v>480</v>
      </c>
      <c r="C647" s="384" t="s">
        <v>228</v>
      </c>
      <c r="D647" s="13">
        <f>138.56*1.05</f>
        <v>145.49</v>
      </c>
      <c r="E647" s="14">
        <f t="shared" si="56"/>
        <v>29.1</v>
      </c>
      <c r="F647" s="97">
        <f t="shared" si="57"/>
        <v>174.59</v>
      </c>
      <c r="G647" s="412"/>
      <c r="H647" s="2"/>
      <c r="I647" s="34"/>
      <c r="J647" s="2"/>
      <c r="K647" s="326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89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89"/>
      <c r="BJ647" s="305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</row>
    <row r="648" spans="1:113" s="15" customFormat="1" ht="24.75" customHeight="1" x14ac:dyDescent="0.2">
      <c r="A648" s="250" t="s">
        <v>481</v>
      </c>
      <c r="B648" s="397" t="s">
        <v>482</v>
      </c>
      <c r="C648" s="384" t="s">
        <v>228</v>
      </c>
      <c r="D648" s="13">
        <f>185.47*1.05</f>
        <v>194.74</v>
      </c>
      <c r="E648" s="14">
        <f t="shared" si="56"/>
        <v>38.950000000000003</v>
      </c>
      <c r="F648" s="97">
        <f t="shared" si="57"/>
        <v>233.69</v>
      </c>
      <c r="G648" s="412"/>
      <c r="H648" s="2"/>
      <c r="I648" s="34"/>
      <c r="J648" s="2"/>
      <c r="K648" s="326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89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89"/>
      <c r="BJ648" s="305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</row>
    <row r="649" spans="1:113" s="15" customFormat="1" ht="20.25" customHeight="1" x14ac:dyDescent="0.2">
      <c r="A649" s="250" t="s">
        <v>483</v>
      </c>
      <c r="B649" s="397" t="s">
        <v>484</v>
      </c>
      <c r="C649" s="384" t="s">
        <v>228</v>
      </c>
      <c r="D649" s="13">
        <f>135.17*1.05</f>
        <v>141.93</v>
      </c>
      <c r="E649" s="14">
        <f t="shared" si="56"/>
        <v>28.39</v>
      </c>
      <c r="F649" s="97">
        <f t="shared" si="57"/>
        <v>170.32</v>
      </c>
      <c r="G649" s="412"/>
      <c r="H649" s="2"/>
      <c r="I649" s="34"/>
      <c r="J649" s="2"/>
      <c r="K649" s="326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89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89"/>
      <c r="BJ649" s="305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</row>
    <row r="650" spans="1:113" s="15" customFormat="1" ht="31.5" customHeight="1" x14ac:dyDescent="0.2">
      <c r="A650" s="250" t="s">
        <v>485</v>
      </c>
      <c r="B650" s="392" t="s">
        <v>486</v>
      </c>
      <c r="C650" s="384" t="s">
        <v>228</v>
      </c>
      <c r="D650" s="13">
        <f>211.78*1.05</f>
        <v>222.37</v>
      </c>
      <c r="E650" s="14">
        <f t="shared" si="56"/>
        <v>44.47</v>
      </c>
      <c r="F650" s="97">
        <f t="shared" si="57"/>
        <v>266.83999999999997</v>
      </c>
      <c r="G650" s="412"/>
      <c r="H650" s="2"/>
      <c r="I650" s="34"/>
      <c r="J650" s="2"/>
      <c r="K650" s="326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89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89"/>
      <c r="BJ650" s="305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</row>
    <row r="651" spans="1:113" s="15" customFormat="1" ht="36" customHeight="1" x14ac:dyDescent="0.2">
      <c r="A651" s="250" t="s">
        <v>487</v>
      </c>
      <c r="B651" s="392" t="s">
        <v>488</v>
      </c>
      <c r="C651" s="384" t="s">
        <v>228</v>
      </c>
      <c r="D651" s="85">
        <f>403.3*1.05</f>
        <v>423.47</v>
      </c>
      <c r="E651" s="14">
        <f t="shared" si="56"/>
        <v>84.69</v>
      </c>
      <c r="F651" s="97">
        <f t="shared" si="57"/>
        <v>508.16</v>
      </c>
      <c r="G651" s="412"/>
      <c r="H651" s="2"/>
      <c r="I651" s="34"/>
      <c r="J651" s="2"/>
      <c r="K651" s="326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89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89"/>
      <c r="BJ651" s="305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</row>
    <row r="652" spans="1:113" s="15" customFormat="1" ht="31.5" customHeight="1" x14ac:dyDescent="0.2">
      <c r="A652" s="250" t="s">
        <v>489</v>
      </c>
      <c r="B652" s="381" t="s">
        <v>490</v>
      </c>
      <c r="C652" s="384" t="s">
        <v>228</v>
      </c>
      <c r="D652" s="13">
        <f>253.1*1.05</f>
        <v>265.76</v>
      </c>
      <c r="E652" s="14">
        <f t="shared" si="56"/>
        <v>53.15</v>
      </c>
      <c r="F652" s="97">
        <f t="shared" si="57"/>
        <v>318.91000000000003</v>
      </c>
      <c r="G652" s="412"/>
      <c r="H652" s="2"/>
      <c r="I652" s="34"/>
      <c r="J652" s="2"/>
      <c r="K652" s="326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89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89"/>
      <c r="BJ652" s="305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</row>
    <row r="653" spans="1:113" s="15" customFormat="1" ht="33" customHeight="1" x14ac:dyDescent="0.2">
      <c r="A653" s="250" t="s">
        <v>491</v>
      </c>
      <c r="B653" s="381" t="s">
        <v>492</v>
      </c>
      <c r="C653" s="384" t="s">
        <v>228</v>
      </c>
      <c r="D653" s="13">
        <f>437.51*1.05</f>
        <v>459.39</v>
      </c>
      <c r="E653" s="14">
        <f t="shared" si="56"/>
        <v>91.88</v>
      </c>
      <c r="F653" s="97">
        <f t="shared" si="57"/>
        <v>551.27</v>
      </c>
      <c r="G653" s="412"/>
      <c r="H653" s="2"/>
      <c r="I653" s="34"/>
      <c r="J653" s="2"/>
      <c r="K653" s="326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89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89"/>
      <c r="BJ653" s="305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</row>
    <row r="654" spans="1:113" s="15" customFormat="1" ht="29.25" customHeight="1" x14ac:dyDescent="0.2">
      <c r="A654" s="250" t="s">
        <v>493</v>
      </c>
      <c r="B654" s="98" t="s">
        <v>494</v>
      </c>
      <c r="C654" s="384" t="s">
        <v>228</v>
      </c>
      <c r="D654" s="13">
        <f>130.38*1.05</f>
        <v>136.9</v>
      </c>
      <c r="E654" s="14">
        <f t="shared" si="56"/>
        <v>27.38</v>
      </c>
      <c r="F654" s="97">
        <f t="shared" si="57"/>
        <v>164.28</v>
      </c>
      <c r="G654" s="412"/>
      <c r="H654" s="2"/>
      <c r="I654" s="34"/>
      <c r="J654" s="2"/>
      <c r="K654" s="326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89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89"/>
      <c r="BJ654" s="305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</row>
    <row r="655" spans="1:113" s="15" customFormat="1" ht="36.75" customHeight="1" x14ac:dyDescent="0.2">
      <c r="A655" s="250" t="s">
        <v>495</v>
      </c>
      <c r="B655" s="98" t="s">
        <v>496</v>
      </c>
      <c r="C655" s="384" t="s">
        <v>228</v>
      </c>
      <c r="D655" s="13">
        <f>91.84*1.05</f>
        <v>96.43</v>
      </c>
      <c r="E655" s="14">
        <f t="shared" si="56"/>
        <v>19.29</v>
      </c>
      <c r="F655" s="97">
        <f t="shared" si="57"/>
        <v>115.72</v>
      </c>
      <c r="G655" s="412"/>
      <c r="H655" s="2"/>
      <c r="I655" s="34"/>
      <c r="J655" s="2"/>
      <c r="K655" s="326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89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89"/>
      <c r="BJ655" s="305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</row>
    <row r="656" spans="1:113" s="15" customFormat="1" ht="46.5" customHeight="1" x14ac:dyDescent="0.2">
      <c r="A656" s="250" t="s">
        <v>497</v>
      </c>
      <c r="B656" s="98" t="s">
        <v>498</v>
      </c>
      <c r="C656" s="384" t="s">
        <v>228</v>
      </c>
      <c r="D656" s="13">
        <f>194.34*1.05</f>
        <v>204.06</v>
      </c>
      <c r="E656" s="14">
        <f t="shared" si="56"/>
        <v>40.81</v>
      </c>
      <c r="F656" s="97">
        <f t="shared" si="57"/>
        <v>244.87</v>
      </c>
      <c r="G656" s="412"/>
      <c r="H656" s="2"/>
      <c r="I656" s="34"/>
      <c r="J656" s="2"/>
      <c r="K656" s="326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89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89"/>
      <c r="BJ656" s="305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</row>
    <row r="657" spans="1:113" s="15" customFormat="1" ht="33" customHeight="1" x14ac:dyDescent="0.2">
      <c r="A657" s="250" t="s">
        <v>499</v>
      </c>
      <c r="B657" s="98" t="s">
        <v>500</v>
      </c>
      <c r="C657" s="384" t="s">
        <v>228</v>
      </c>
      <c r="D657" s="13">
        <f>169.7*1.05</f>
        <v>178.19</v>
      </c>
      <c r="E657" s="14">
        <f t="shared" si="56"/>
        <v>35.64</v>
      </c>
      <c r="F657" s="97">
        <f t="shared" si="57"/>
        <v>213.83</v>
      </c>
      <c r="G657" s="412"/>
      <c r="H657" s="2"/>
      <c r="I657" s="34"/>
      <c r="J657" s="2"/>
      <c r="K657" s="326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89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89"/>
      <c r="BJ657" s="305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</row>
    <row r="658" spans="1:113" s="15" customFormat="1" ht="33.75" customHeight="1" x14ac:dyDescent="0.2">
      <c r="A658" s="250" t="s">
        <v>501</v>
      </c>
      <c r="B658" s="98" t="s">
        <v>502</v>
      </c>
      <c r="C658" s="384" t="s">
        <v>228</v>
      </c>
      <c r="D658" s="13">
        <f>138.56*1.05</f>
        <v>145.49</v>
      </c>
      <c r="E658" s="14">
        <f t="shared" si="56"/>
        <v>29.1</v>
      </c>
      <c r="F658" s="97">
        <f>D658+E658</f>
        <v>174.59</v>
      </c>
      <c r="G658" s="412"/>
      <c r="H658" s="2"/>
      <c r="I658" s="34"/>
      <c r="J658" s="2"/>
      <c r="K658" s="326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89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89"/>
      <c r="BJ658" s="305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</row>
    <row r="659" spans="1:113" s="15" customFormat="1" ht="18.75" customHeight="1" x14ac:dyDescent="0.2">
      <c r="A659" s="250" t="s">
        <v>503</v>
      </c>
      <c r="B659" s="381" t="s">
        <v>504</v>
      </c>
      <c r="C659" s="384" t="s">
        <v>228</v>
      </c>
      <c r="D659" s="13">
        <f>245.08*1.05</f>
        <v>257.33</v>
      </c>
      <c r="E659" s="14">
        <f t="shared" si="56"/>
        <v>51.47</v>
      </c>
      <c r="F659" s="97">
        <f t="shared" si="57"/>
        <v>308.8</v>
      </c>
      <c r="G659" s="412"/>
      <c r="H659" s="2"/>
      <c r="I659" s="34"/>
      <c r="J659" s="2"/>
      <c r="K659" s="326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89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89"/>
      <c r="BJ659" s="305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</row>
    <row r="660" spans="1:113" s="15" customFormat="1" ht="20.25" customHeight="1" x14ac:dyDescent="0.2">
      <c r="A660" s="250" t="s">
        <v>505</v>
      </c>
      <c r="B660" s="381" t="s">
        <v>506</v>
      </c>
      <c r="C660" s="384" t="s">
        <v>228</v>
      </c>
      <c r="D660" s="13">
        <f>245.08*1.05</f>
        <v>257.33</v>
      </c>
      <c r="E660" s="14">
        <f t="shared" si="56"/>
        <v>51.47</v>
      </c>
      <c r="F660" s="97">
        <f t="shared" si="57"/>
        <v>308.8</v>
      </c>
      <c r="G660" s="412"/>
      <c r="H660" s="2"/>
      <c r="I660" s="34"/>
      <c r="J660" s="2"/>
      <c r="K660" s="326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89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89"/>
      <c r="BJ660" s="305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</row>
    <row r="661" spans="1:113" s="15" customFormat="1" ht="33.75" customHeight="1" x14ac:dyDescent="0.2">
      <c r="A661" s="250" t="s">
        <v>507</v>
      </c>
      <c r="B661" s="381" t="s">
        <v>508</v>
      </c>
      <c r="C661" s="384" t="s">
        <v>228</v>
      </c>
      <c r="D661" s="13">
        <f>183.98*1.05</f>
        <v>193.18</v>
      </c>
      <c r="E661" s="14">
        <f t="shared" si="56"/>
        <v>38.64</v>
      </c>
      <c r="F661" s="97">
        <f t="shared" si="57"/>
        <v>231.82</v>
      </c>
      <c r="G661" s="412"/>
      <c r="H661" s="2"/>
      <c r="I661" s="34"/>
      <c r="J661" s="2"/>
      <c r="K661" s="326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89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89"/>
      <c r="BJ661" s="305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</row>
    <row r="662" spans="1:113" s="15" customFormat="1" ht="33" customHeight="1" x14ac:dyDescent="0.2">
      <c r="A662" s="250" t="s">
        <v>509</v>
      </c>
      <c r="B662" s="106" t="s">
        <v>510</v>
      </c>
      <c r="C662" s="384" t="s">
        <v>228</v>
      </c>
      <c r="D662" s="13">
        <f>244.04*1.05</f>
        <v>256.24</v>
      </c>
      <c r="E662" s="14">
        <f t="shared" si="56"/>
        <v>51.25</v>
      </c>
      <c r="F662" s="97">
        <f>D662+E662</f>
        <v>307.49</v>
      </c>
      <c r="G662" s="412"/>
      <c r="H662" s="2"/>
      <c r="I662" s="34"/>
      <c r="J662" s="2"/>
      <c r="K662" s="326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89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89"/>
      <c r="BJ662" s="305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</row>
    <row r="663" spans="1:113" s="15" customFormat="1" ht="46.5" customHeight="1" x14ac:dyDescent="0.2">
      <c r="A663" s="250" t="s">
        <v>511</v>
      </c>
      <c r="B663" s="106" t="s">
        <v>512</v>
      </c>
      <c r="C663" s="384" t="s">
        <v>228</v>
      </c>
      <c r="D663" s="13">
        <f>299.85*1.05</f>
        <v>314.83999999999997</v>
      </c>
      <c r="E663" s="14">
        <f t="shared" si="56"/>
        <v>62.97</v>
      </c>
      <c r="F663" s="97">
        <f>D663+E663</f>
        <v>377.81</v>
      </c>
      <c r="G663" s="412"/>
      <c r="H663" s="2"/>
      <c r="I663" s="34"/>
      <c r="J663" s="2"/>
      <c r="K663" s="326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89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89"/>
      <c r="BJ663" s="305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</row>
    <row r="664" spans="1:113" s="15" customFormat="1" ht="21" customHeight="1" x14ac:dyDescent="0.2">
      <c r="A664" s="250" t="s">
        <v>513</v>
      </c>
      <c r="B664" s="106" t="s">
        <v>514</v>
      </c>
      <c r="C664" s="384" t="s">
        <v>228</v>
      </c>
      <c r="D664" s="13">
        <f>525.32*1.05</f>
        <v>551.59</v>
      </c>
      <c r="E664" s="14">
        <f>D664*20%</f>
        <v>110.32</v>
      </c>
      <c r="F664" s="97">
        <f>D664+E664</f>
        <v>661.91</v>
      </c>
      <c r="G664" s="412"/>
      <c r="H664" s="2"/>
      <c r="I664" s="34"/>
      <c r="J664" s="2"/>
      <c r="K664" s="326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89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89"/>
      <c r="BJ664" s="305"/>
      <c r="BK664" s="343" t="s">
        <v>515</v>
      </c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</row>
    <row r="665" spans="1:113" s="15" customFormat="1" ht="28.5" customHeight="1" x14ac:dyDescent="0.2">
      <c r="A665" s="250" t="s">
        <v>516</v>
      </c>
      <c r="B665" s="106" t="s">
        <v>517</v>
      </c>
      <c r="C665" s="384" t="s">
        <v>228</v>
      </c>
      <c r="D665" s="13">
        <f>694.24*1.05</f>
        <v>728.95</v>
      </c>
      <c r="E665" s="14">
        <f>D665*20%</f>
        <v>145.79</v>
      </c>
      <c r="F665" s="97">
        <f>D665+E665</f>
        <v>874.74</v>
      </c>
      <c r="G665" s="412"/>
      <c r="H665" s="2"/>
      <c r="I665" s="34"/>
      <c r="J665" s="2"/>
      <c r="K665" s="326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89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89"/>
      <c r="BJ665" s="305"/>
      <c r="BK665" s="343" t="s">
        <v>515</v>
      </c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</row>
    <row r="666" spans="1:113" s="15" customFormat="1" ht="28.5" customHeight="1" x14ac:dyDescent="0.2">
      <c r="A666" s="250" t="s">
        <v>1746</v>
      </c>
      <c r="B666" s="106" t="s">
        <v>1739</v>
      </c>
      <c r="C666" s="384" t="s">
        <v>228</v>
      </c>
      <c r="D666" s="13">
        <f>1968.71*1.05</f>
        <v>2067.15</v>
      </c>
      <c r="E666" s="14">
        <f t="shared" ref="E666:E672" si="58">D666*20%</f>
        <v>413.43</v>
      </c>
      <c r="F666" s="97">
        <f t="shared" ref="F666:F672" si="59">D666+E666</f>
        <v>2480.58</v>
      </c>
      <c r="G666" s="412"/>
      <c r="H666" s="2"/>
      <c r="I666" s="34"/>
      <c r="J666" s="2"/>
      <c r="K666" s="326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89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89"/>
      <c r="BJ666" s="305"/>
      <c r="BK666" s="343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</row>
    <row r="667" spans="1:113" s="15" customFormat="1" ht="33.75" customHeight="1" x14ac:dyDescent="0.2">
      <c r="A667" s="250" t="s">
        <v>1748</v>
      </c>
      <c r="B667" s="106" t="s">
        <v>1740</v>
      </c>
      <c r="C667" s="384" t="s">
        <v>228</v>
      </c>
      <c r="D667" s="13">
        <f>3202.5</f>
        <v>3202.5</v>
      </c>
      <c r="E667" s="14">
        <f t="shared" si="58"/>
        <v>640.5</v>
      </c>
      <c r="F667" s="97">
        <f t="shared" si="59"/>
        <v>3843</v>
      </c>
      <c r="G667" s="412"/>
      <c r="H667" s="2"/>
      <c r="I667" s="34"/>
      <c r="J667" s="2"/>
      <c r="K667" s="326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89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89"/>
      <c r="BJ667" s="305"/>
      <c r="BK667" s="343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</row>
    <row r="668" spans="1:113" s="15" customFormat="1" ht="28.5" customHeight="1" x14ac:dyDescent="0.2">
      <c r="A668" s="250" t="s">
        <v>1749</v>
      </c>
      <c r="B668" s="106" t="s">
        <v>1743</v>
      </c>
      <c r="C668" s="384" t="s">
        <v>228</v>
      </c>
      <c r="D668" s="13">
        <f>2490.32*1.05</f>
        <v>2614.84</v>
      </c>
      <c r="E668" s="14">
        <f t="shared" si="58"/>
        <v>522.97</v>
      </c>
      <c r="F668" s="97">
        <f t="shared" si="59"/>
        <v>3137.81</v>
      </c>
      <c r="G668" s="412"/>
      <c r="H668" s="2"/>
      <c r="I668" s="34"/>
      <c r="J668" s="2"/>
      <c r="K668" s="326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89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89"/>
      <c r="BJ668" s="305"/>
      <c r="BK668" s="343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</row>
    <row r="669" spans="1:113" s="15" customFormat="1" ht="28.5" customHeight="1" x14ac:dyDescent="0.2">
      <c r="A669" s="250" t="s">
        <v>1750</v>
      </c>
      <c r="B669" s="106" t="s">
        <v>1744</v>
      </c>
      <c r="C669" s="384" t="s">
        <v>228</v>
      </c>
      <c r="D669" s="13">
        <f>2494.88*1.05</f>
        <v>2619.62</v>
      </c>
      <c r="E669" s="14">
        <f t="shared" si="58"/>
        <v>523.91999999999996</v>
      </c>
      <c r="F669" s="97">
        <f t="shared" si="59"/>
        <v>3143.54</v>
      </c>
      <c r="G669" s="412"/>
      <c r="H669" s="2"/>
      <c r="I669" s="34"/>
      <c r="J669" s="2"/>
      <c r="K669" s="326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89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89"/>
      <c r="BJ669" s="305"/>
      <c r="BK669" s="343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</row>
    <row r="670" spans="1:113" s="15" customFormat="1" ht="28.5" customHeight="1" x14ac:dyDescent="0.2">
      <c r="A670" s="250" t="s">
        <v>1751</v>
      </c>
      <c r="B670" s="106" t="s">
        <v>1745</v>
      </c>
      <c r="C670" s="384" t="s">
        <v>228</v>
      </c>
      <c r="D670" s="13">
        <f>2108.48*1.05</f>
        <v>2213.9</v>
      </c>
      <c r="E670" s="14">
        <f t="shared" si="58"/>
        <v>442.78</v>
      </c>
      <c r="F670" s="97">
        <f t="shared" si="59"/>
        <v>2656.68</v>
      </c>
      <c r="G670" s="412"/>
      <c r="H670" s="2"/>
      <c r="I670" s="34"/>
      <c r="J670" s="2"/>
      <c r="K670" s="326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89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89"/>
      <c r="BJ670" s="305"/>
      <c r="BK670" s="343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</row>
    <row r="671" spans="1:113" s="15" customFormat="1" ht="28.5" customHeight="1" x14ac:dyDescent="0.2">
      <c r="A671" s="250" t="s">
        <v>1944</v>
      </c>
      <c r="B671" s="106" t="s">
        <v>1946</v>
      </c>
      <c r="C671" s="384" t="s">
        <v>228</v>
      </c>
      <c r="D671" s="13">
        <f>6637.3*1.05</f>
        <v>6969.17</v>
      </c>
      <c r="E671" s="14">
        <f t="shared" si="58"/>
        <v>1393.83</v>
      </c>
      <c r="F671" s="97">
        <f t="shared" si="59"/>
        <v>8363</v>
      </c>
      <c r="G671" s="412"/>
      <c r="H671" s="2"/>
      <c r="I671" s="34"/>
      <c r="J671" s="2"/>
      <c r="K671" s="326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89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89"/>
      <c r="BJ671" s="305"/>
      <c r="BK671" s="343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</row>
    <row r="672" spans="1:113" s="15" customFormat="1" ht="28.5" customHeight="1" x14ac:dyDescent="0.2">
      <c r="A672" s="250" t="s">
        <v>1945</v>
      </c>
      <c r="B672" s="106" t="s">
        <v>1947</v>
      </c>
      <c r="C672" s="384" t="s">
        <v>228</v>
      </c>
      <c r="D672" s="13">
        <f>6637.3*1.05</f>
        <v>6969.17</v>
      </c>
      <c r="E672" s="14">
        <f t="shared" si="58"/>
        <v>1393.83</v>
      </c>
      <c r="F672" s="97">
        <f t="shared" si="59"/>
        <v>8363</v>
      </c>
      <c r="G672" s="412"/>
      <c r="H672" s="2"/>
      <c r="I672" s="34"/>
      <c r="J672" s="2"/>
      <c r="K672" s="326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89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89"/>
      <c r="BJ672" s="305"/>
      <c r="BK672" s="343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</row>
    <row r="673" spans="1:113" s="15" customFormat="1" ht="68.25" customHeight="1" x14ac:dyDescent="0.2">
      <c r="A673" s="250" t="s">
        <v>1948</v>
      </c>
      <c r="B673" s="106" t="s">
        <v>2285</v>
      </c>
      <c r="C673" s="384" t="s">
        <v>228</v>
      </c>
      <c r="D673" s="13">
        <v>23630.33</v>
      </c>
      <c r="E673" s="14">
        <f t="shared" ref="E673" si="60">D673*20%</f>
        <v>4726.07</v>
      </c>
      <c r="F673" s="97">
        <f t="shared" ref="F673" si="61">D673+E673</f>
        <v>28356.400000000001</v>
      </c>
      <c r="G673" s="412"/>
      <c r="H673" s="2"/>
      <c r="I673" s="34"/>
      <c r="J673" s="2"/>
      <c r="K673" s="326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89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89"/>
      <c r="BJ673" s="305"/>
      <c r="BK673" s="343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</row>
    <row r="674" spans="1:113" s="15" customFormat="1" ht="24" customHeight="1" x14ac:dyDescent="0.2">
      <c r="A674" s="250" t="s">
        <v>2324</v>
      </c>
      <c r="B674" s="454" t="s">
        <v>1949</v>
      </c>
      <c r="C674" s="455"/>
      <c r="D674" s="455"/>
      <c r="E674" s="455"/>
      <c r="F674" s="456"/>
      <c r="G674" s="412"/>
      <c r="H674" s="2"/>
      <c r="I674" s="34"/>
      <c r="J674" s="2"/>
      <c r="K674" s="326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89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89"/>
      <c r="BJ674" s="305"/>
      <c r="BK674" s="343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</row>
    <row r="675" spans="1:113" s="15" customFormat="1" ht="31.5" customHeight="1" x14ac:dyDescent="0.2">
      <c r="A675" s="250" t="s">
        <v>2325</v>
      </c>
      <c r="B675" s="106" t="s">
        <v>1950</v>
      </c>
      <c r="C675" s="384" t="s">
        <v>228</v>
      </c>
      <c r="D675" s="13">
        <f>7433.78*1.05</f>
        <v>7805.47</v>
      </c>
      <c r="E675" s="14">
        <f t="shared" ref="E675" si="62">D675*20%</f>
        <v>1561.09</v>
      </c>
      <c r="F675" s="97">
        <f t="shared" ref="F675" si="63">D675+E675</f>
        <v>9366.56</v>
      </c>
      <c r="G675" s="412"/>
      <c r="H675" s="2"/>
      <c r="I675" s="34"/>
      <c r="J675" s="2"/>
      <c r="K675" s="326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89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89"/>
      <c r="BJ675" s="305"/>
      <c r="BK675" s="343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</row>
    <row r="676" spans="1:113" s="15" customFormat="1" ht="21.75" customHeight="1" x14ac:dyDescent="0.2">
      <c r="A676" s="107" t="s">
        <v>195</v>
      </c>
      <c r="B676" s="437" t="s">
        <v>518</v>
      </c>
      <c r="C676" s="437"/>
      <c r="D676" s="437"/>
      <c r="E676" s="437"/>
      <c r="F676" s="437"/>
      <c r="G676" s="412"/>
      <c r="H676" s="2"/>
      <c r="I676" s="34"/>
      <c r="J676" s="2"/>
      <c r="K676" s="326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89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89"/>
      <c r="BJ676" s="305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</row>
    <row r="677" spans="1:113" s="15" customFormat="1" ht="15.75" customHeight="1" x14ac:dyDescent="0.2">
      <c r="A677" s="404"/>
      <c r="B677" s="430" t="s">
        <v>529</v>
      </c>
      <c r="C677" s="430"/>
      <c r="D677" s="430"/>
      <c r="E677" s="430"/>
      <c r="F677" s="430"/>
      <c r="G677" s="412"/>
      <c r="H677" s="2"/>
      <c r="I677" s="34"/>
      <c r="J677" s="2"/>
      <c r="K677" s="326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89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89"/>
      <c r="BJ677" s="305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</row>
    <row r="678" spans="1:113" s="15" customFormat="1" ht="19.5" customHeight="1" x14ac:dyDescent="0.2">
      <c r="A678" s="404" t="s">
        <v>200</v>
      </c>
      <c r="B678" s="381" t="s">
        <v>531</v>
      </c>
      <c r="C678" s="384" t="s">
        <v>228</v>
      </c>
      <c r="D678" s="13">
        <f>194.48*1.05</f>
        <v>204.2</v>
      </c>
      <c r="E678" s="14">
        <f t="shared" ref="E678:E693" si="64">D678*20%</f>
        <v>40.840000000000003</v>
      </c>
      <c r="F678" s="97">
        <f t="shared" ref="F678:F693" si="65">D678+E678</f>
        <v>245.04</v>
      </c>
      <c r="G678" s="412"/>
      <c r="H678" s="2"/>
      <c r="I678" s="34"/>
      <c r="J678" s="2"/>
      <c r="K678" s="326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89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89"/>
      <c r="BJ678" s="305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</row>
    <row r="679" spans="1:113" s="15" customFormat="1" ht="22.5" customHeight="1" x14ac:dyDescent="0.2">
      <c r="A679" s="404" t="s">
        <v>204</v>
      </c>
      <c r="B679" s="381" t="s">
        <v>533</v>
      </c>
      <c r="C679" s="384" t="s">
        <v>228</v>
      </c>
      <c r="D679" s="13">
        <f>105.26*1.05</f>
        <v>110.52</v>
      </c>
      <c r="E679" s="14">
        <f t="shared" si="64"/>
        <v>22.1</v>
      </c>
      <c r="F679" s="97">
        <f t="shared" si="65"/>
        <v>132.62</v>
      </c>
      <c r="G679" s="412"/>
      <c r="H679" s="2"/>
      <c r="I679" s="34"/>
      <c r="J679" s="2"/>
      <c r="K679" s="326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89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89"/>
      <c r="BJ679" s="305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</row>
    <row r="680" spans="1:113" s="15" customFormat="1" ht="20.25" customHeight="1" x14ac:dyDescent="0.2">
      <c r="A680" s="404" t="s">
        <v>521</v>
      </c>
      <c r="B680" s="381" t="s">
        <v>535</v>
      </c>
      <c r="C680" s="384" t="s">
        <v>228</v>
      </c>
      <c r="D680" s="13">
        <f>57.46*1.05</f>
        <v>60.33</v>
      </c>
      <c r="E680" s="14">
        <f t="shared" si="64"/>
        <v>12.07</v>
      </c>
      <c r="F680" s="97">
        <f t="shared" si="65"/>
        <v>72.400000000000006</v>
      </c>
      <c r="G680" s="412"/>
      <c r="H680" s="2"/>
      <c r="I680" s="34"/>
      <c r="J680" s="2"/>
      <c r="K680" s="326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89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89"/>
      <c r="BJ680" s="305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</row>
    <row r="681" spans="1:113" s="15" customFormat="1" ht="20.25" customHeight="1" x14ac:dyDescent="0.2">
      <c r="A681" s="404" t="s">
        <v>523</v>
      </c>
      <c r="B681" s="381" t="s">
        <v>537</v>
      </c>
      <c r="C681" s="384" t="s">
        <v>228</v>
      </c>
      <c r="D681" s="13">
        <f>232.54*1.05</f>
        <v>244.17</v>
      </c>
      <c r="E681" s="14">
        <f t="shared" si="64"/>
        <v>48.83</v>
      </c>
      <c r="F681" s="97">
        <f t="shared" si="65"/>
        <v>293</v>
      </c>
      <c r="G681" s="412"/>
      <c r="H681" s="2"/>
      <c r="I681" s="34"/>
      <c r="J681" s="2"/>
      <c r="K681" s="326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89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89"/>
      <c r="BJ681" s="305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</row>
    <row r="682" spans="1:113" s="15" customFormat="1" ht="27" customHeight="1" x14ac:dyDescent="0.2">
      <c r="A682" s="404" t="s">
        <v>525</v>
      </c>
      <c r="B682" s="381" t="s">
        <v>539</v>
      </c>
      <c r="C682" s="384" t="s">
        <v>228</v>
      </c>
      <c r="D682" s="13">
        <f>125.74*1.05</f>
        <v>132.03</v>
      </c>
      <c r="E682" s="14">
        <f t="shared" si="64"/>
        <v>26.41</v>
      </c>
      <c r="F682" s="97">
        <f t="shared" si="65"/>
        <v>158.44</v>
      </c>
      <c r="G682" s="412"/>
      <c r="H682" s="2"/>
      <c r="I682" s="34"/>
      <c r="J682" s="2"/>
      <c r="K682" s="326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89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89"/>
      <c r="BJ682" s="305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</row>
    <row r="683" spans="1:113" s="15" customFormat="1" ht="21" customHeight="1" x14ac:dyDescent="0.2">
      <c r="A683" s="404" t="s">
        <v>527</v>
      </c>
      <c r="B683" s="381" t="s">
        <v>541</v>
      </c>
      <c r="C683" s="384" t="s">
        <v>228</v>
      </c>
      <c r="D683" s="13">
        <f>111.3*1.05</f>
        <v>116.87</v>
      </c>
      <c r="E683" s="14">
        <f t="shared" si="64"/>
        <v>23.37</v>
      </c>
      <c r="F683" s="97">
        <f t="shared" si="65"/>
        <v>140.24</v>
      </c>
      <c r="G683" s="412"/>
      <c r="H683" s="2"/>
      <c r="I683" s="34"/>
      <c r="J683" s="2"/>
      <c r="K683" s="326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89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89"/>
      <c r="BJ683" s="305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</row>
    <row r="684" spans="1:113" s="15" customFormat="1" ht="23.25" customHeight="1" x14ac:dyDescent="0.2">
      <c r="A684" s="404" t="s">
        <v>530</v>
      </c>
      <c r="B684" s="381" t="s">
        <v>543</v>
      </c>
      <c r="C684" s="384" t="s">
        <v>228</v>
      </c>
      <c r="D684" s="13">
        <f>62.62*1.05</f>
        <v>65.75</v>
      </c>
      <c r="E684" s="14">
        <f t="shared" si="64"/>
        <v>13.15</v>
      </c>
      <c r="F684" s="97">
        <f t="shared" si="65"/>
        <v>78.900000000000006</v>
      </c>
      <c r="G684" s="412"/>
      <c r="H684" s="2"/>
      <c r="I684" s="34"/>
      <c r="J684" s="2"/>
      <c r="K684" s="326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89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89"/>
      <c r="BJ684" s="305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</row>
    <row r="685" spans="1:113" s="15" customFormat="1" ht="17.25" customHeight="1" x14ac:dyDescent="0.2">
      <c r="A685" s="404" t="s">
        <v>532</v>
      </c>
      <c r="B685" s="381" t="s">
        <v>545</v>
      </c>
      <c r="C685" s="384" t="s">
        <v>228</v>
      </c>
      <c r="D685" s="13">
        <f>288.93*1.05</f>
        <v>303.38</v>
      </c>
      <c r="E685" s="14">
        <f t="shared" si="64"/>
        <v>60.68</v>
      </c>
      <c r="F685" s="97">
        <f t="shared" si="65"/>
        <v>364.06</v>
      </c>
      <c r="G685" s="412"/>
      <c r="H685" s="2"/>
      <c r="I685" s="34"/>
      <c r="J685" s="2"/>
      <c r="K685" s="326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89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89"/>
      <c r="BJ685" s="305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</row>
    <row r="686" spans="1:113" s="15" customFormat="1" ht="19.5" customHeight="1" x14ac:dyDescent="0.2">
      <c r="A686" s="404" t="s">
        <v>534</v>
      </c>
      <c r="B686" s="381" t="s">
        <v>547</v>
      </c>
      <c r="C686" s="384" t="s">
        <v>228</v>
      </c>
      <c r="D686" s="13">
        <f>89.94*1.05</f>
        <v>94.44</v>
      </c>
      <c r="E686" s="14">
        <f t="shared" si="64"/>
        <v>18.89</v>
      </c>
      <c r="F686" s="97">
        <f t="shared" si="65"/>
        <v>113.33</v>
      </c>
      <c r="G686" s="412"/>
      <c r="H686" s="2"/>
      <c r="I686" s="34"/>
      <c r="J686" s="2"/>
      <c r="K686" s="326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89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89"/>
      <c r="BJ686" s="305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</row>
    <row r="687" spans="1:113" s="15" customFormat="1" ht="18.75" customHeight="1" x14ac:dyDescent="0.2">
      <c r="A687" s="404" t="s">
        <v>536</v>
      </c>
      <c r="B687" s="381" t="s">
        <v>549</v>
      </c>
      <c r="C687" s="384" t="s">
        <v>228</v>
      </c>
      <c r="D687" s="13">
        <f>50.73*1.05</f>
        <v>53.27</v>
      </c>
      <c r="E687" s="14">
        <f t="shared" si="64"/>
        <v>10.65</v>
      </c>
      <c r="F687" s="97">
        <f t="shared" si="65"/>
        <v>63.92</v>
      </c>
      <c r="G687" s="412"/>
      <c r="H687" s="2"/>
      <c r="I687" s="34"/>
      <c r="J687" s="2"/>
      <c r="K687" s="326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89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89"/>
      <c r="BJ687" s="305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</row>
    <row r="688" spans="1:113" s="15" customFormat="1" ht="30" customHeight="1" x14ac:dyDescent="0.2">
      <c r="A688" s="404" t="s">
        <v>538</v>
      </c>
      <c r="B688" s="381" t="s">
        <v>551</v>
      </c>
      <c r="C688" s="384" t="s">
        <v>228</v>
      </c>
      <c r="D688" s="13">
        <f>35.49*1.05</f>
        <v>37.26</v>
      </c>
      <c r="E688" s="14">
        <f t="shared" si="64"/>
        <v>7.45</v>
      </c>
      <c r="F688" s="97">
        <f t="shared" si="65"/>
        <v>44.71</v>
      </c>
      <c r="G688" s="412"/>
      <c r="H688" s="2"/>
      <c r="I688" s="34"/>
      <c r="J688" s="2"/>
      <c r="K688" s="326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89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89"/>
      <c r="BJ688" s="305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</row>
    <row r="689" spans="1:113" s="15" customFormat="1" ht="18" customHeight="1" x14ac:dyDescent="0.2">
      <c r="A689" s="404" t="s">
        <v>540</v>
      </c>
      <c r="B689" s="381" t="s">
        <v>553</v>
      </c>
      <c r="C689" s="384" t="s">
        <v>228</v>
      </c>
      <c r="D689" s="13">
        <f>32*1.05</f>
        <v>33.6</v>
      </c>
      <c r="E689" s="14">
        <f t="shared" si="64"/>
        <v>6.72</v>
      </c>
      <c r="F689" s="97">
        <f t="shared" si="65"/>
        <v>40.32</v>
      </c>
      <c r="G689" s="412"/>
      <c r="H689" s="2"/>
      <c r="I689" s="34"/>
      <c r="J689" s="2"/>
      <c r="K689" s="326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89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89"/>
      <c r="BJ689" s="305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</row>
    <row r="690" spans="1:113" s="15" customFormat="1" ht="37.5" customHeight="1" x14ac:dyDescent="0.2">
      <c r="A690" s="404" t="s">
        <v>542</v>
      </c>
      <c r="B690" s="381" t="s">
        <v>555</v>
      </c>
      <c r="C690" s="384" t="s">
        <v>228</v>
      </c>
      <c r="D690" s="13">
        <f>92.54*1.05</f>
        <v>97.17</v>
      </c>
      <c r="E690" s="14">
        <f t="shared" si="64"/>
        <v>19.43</v>
      </c>
      <c r="F690" s="97">
        <f t="shared" si="65"/>
        <v>116.6</v>
      </c>
      <c r="G690" s="412"/>
      <c r="H690" s="2"/>
      <c r="I690" s="34"/>
      <c r="J690" s="2"/>
      <c r="K690" s="326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89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89"/>
      <c r="BJ690" s="305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</row>
    <row r="691" spans="1:113" s="15" customFormat="1" ht="35.25" customHeight="1" x14ac:dyDescent="0.2">
      <c r="A691" s="404" t="s">
        <v>544</v>
      </c>
      <c r="B691" s="381" t="s">
        <v>557</v>
      </c>
      <c r="C691" s="384" t="s">
        <v>228</v>
      </c>
      <c r="D691" s="13">
        <f>68.07*1.05</f>
        <v>71.47</v>
      </c>
      <c r="E691" s="14">
        <f t="shared" si="64"/>
        <v>14.29</v>
      </c>
      <c r="F691" s="97">
        <f t="shared" si="65"/>
        <v>85.76</v>
      </c>
      <c r="G691" s="412"/>
      <c r="H691" s="2"/>
      <c r="I691" s="34"/>
      <c r="J691" s="2"/>
      <c r="K691" s="326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89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89"/>
      <c r="BJ691" s="305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</row>
    <row r="692" spans="1:113" s="15" customFormat="1" ht="32.25" customHeight="1" x14ac:dyDescent="0.2">
      <c r="A692" s="404" t="s">
        <v>546</v>
      </c>
      <c r="B692" s="381" t="s">
        <v>559</v>
      </c>
      <c r="C692" s="384" t="s">
        <v>228</v>
      </c>
      <c r="D692" s="13">
        <f>48.27*1.05</f>
        <v>50.68</v>
      </c>
      <c r="E692" s="14">
        <f t="shared" si="64"/>
        <v>10.14</v>
      </c>
      <c r="F692" s="97">
        <f t="shared" si="65"/>
        <v>60.82</v>
      </c>
      <c r="G692" s="412"/>
      <c r="H692" s="2"/>
      <c r="I692" s="34"/>
      <c r="J692" s="2"/>
      <c r="K692" s="326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89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89"/>
      <c r="BJ692" s="305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</row>
    <row r="693" spans="1:113" s="15" customFormat="1" ht="37.5" customHeight="1" x14ac:dyDescent="0.2">
      <c r="A693" s="404" t="s">
        <v>548</v>
      </c>
      <c r="B693" s="98" t="s">
        <v>561</v>
      </c>
      <c r="C693" s="384" t="s">
        <v>228</v>
      </c>
      <c r="D693" s="13">
        <f>36.14*1.05</f>
        <v>37.950000000000003</v>
      </c>
      <c r="E693" s="14">
        <f t="shared" si="64"/>
        <v>7.59</v>
      </c>
      <c r="F693" s="97">
        <f t="shared" si="65"/>
        <v>45.54</v>
      </c>
      <c r="G693" s="412"/>
      <c r="H693" s="2"/>
      <c r="I693" s="34"/>
      <c r="J693" s="2"/>
      <c r="K693" s="326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89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89"/>
      <c r="BJ693" s="305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</row>
    <row r="694" spans="1:113" s="15" customFormat="1" ht="24" customHeight="1" x14ac:dyDescent="0.2">
      <c r="A694" s="108" t="s">
        <v>26</v>
      </c>
      <c r="B694" s="429" t="s">
        <v>562</v>
      </c>
      <c r="C694" s="429"/>
      <c r="D694" s="429"/>
      <c r="E694" s="429"/>
      <c r="F694" s="429"/>
      <c r="G694" s="412"/>
      <c r="H694" s="2"/>
      <c r="I694" s="34"/>
      <c r="J694" s="2"/>
      <c r="K694" s="326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89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89"/>
      <c r="BJ694" s="305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</row>
    <row r="695" spans="1:113" s="15" customFormat="1" ht="19.5" customHeight="1" x14ac:dyDescent="0.2">
      <c r="A695" s="404"/>
      <c r="B695" s="430" t="s">
        <v>529</v>
      </c>
      <c r="C695" s="430"/>
      <c r="D695" s="430"/>
      <c r="E695" s="430"/>
      <c r="F695" s="430"/>
      <c r="G695" s="412"/>
      <c r="H695" s="2"/>
      <c r="I695" s="34"/>
      <c r="J695" s="2"/>
      <c r="K695" s="326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89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89"/>
      <c r="BJ695" s="305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</row>
    <row r="696" spans="1:113" s="15" customFormat="1" ht="18.75" customHeight="1" x14ac:dyDescent="0.2">
      <c r="A696" s="404" t="s">
        <v>563</v>
      </c>
      <c r="B696" s="381" t="s">
        <v>568</v>
      </c>
      <c r="C696" s="384" t="s">
        <v>228</v>
      </c>
      <c r="D696" s="13">
        <f>69.66*1.05</f>
        <v>73.14</v>
      </c>
      <c r="E696" s="14">
        <f>D696*20%</f>
        <v>14.63</v>
      </c>
      <c r="F696" s="97">
        <f>D696+E696</f>
        <v>87.77</v>
      </c>
      <c r="G696" s="412"/>
      <c r="H696" s="2"/>
      <c r="I696" s="34"/>
      <c r="J696" s="2"/>
      <c r="K696" s="326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89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89"/>
      <c r="BJ696" s="305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</row>
    <row r="697" spans="1:113" s="15" customFormat="1" ht="32.25" customHeight="1" x14ac:dyDescent="0.2">
      <c r="A697" s="404" t="s">
        <v>565</v>
      </c>
      <c r="B697" s="381" t="s">
        <v>570</v>
      </c>
      <c r="C697" s="384" t="s">
        <v>228</v>
      </c>
      <c r="D697" s="13">
        <f>58.84*1.05</f>
        <v>61.78</v>
      </c>
      <c r="E697" s="14">
        <f>D697*20%</f>
        <v>12.36</v>
      </c>
      <c r="F697" s="97">
        <f>D697+E697</f>
        <v>74.14</v>
      </c>
      <c r="G697" s="412"/>
      <c r="H697" s="2"/>
      <c r="I697" s="34"/>
      <c r="J697" s="2"/>
      <c r="K697" s="326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89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89"/>
      <c r="BJ697" s="305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</row>
    <row r="698" spans="1:113" s="15" customFormat="1" ht="23.25" customHeight="1" x14ac:dyDescent="0.2">
      <c r="A698" s="404" t="s">
        <v>567</v>
      </c>
      <c r="B698" s="381" t="s">
        <v>572</v>
      </c>
      <c r="C698" s="384" t="s">
        <v>228</v>
      </c>
      <c r="D698" s="13">
        <f>106.08*1.05</f>
        <v>111.38</v>
      </c>
      <c r="E698" s="14">
        <f>D698*20%</f>
        <v>22.28</v>
      </c>
      <c r="F698" s="97">
        <f>D698+E698</f>
        <v>133.66</v>
      </c>
      <c r="G698" s="412"/>
      <c r="H698" s="2"/>
      <c r="I698" s="34"/>
      <c r="J698" s="2"/>
      <c r="K698" s="326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89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89"/>
      <c r="BJ698" s="305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</row>
    <row r="699" spans="1:113" s="15" customFormat="1" ht="22.5" customHeight="1" x14ac:dyDescent="0.2">
      <c r="A699" s="404" t="s">
        <v>569</v>
      </c>
      <c r="B699" s="381" t="s">
        <v>574</v>
      </c>
      <c r="C699" s="384" t="s">
        <v>228</v>
      </c>
      <c r="D699" s="13">
        <f>103.91*1.05</f>
        <v>109.11</v>
      </c>
      <c r="E699" s="14">
        <f>D699*20%</f>
        <v>21.82</v>
      </c>
      <c r="F699" s="97">
        <f>D699+E699</f>
        <v>130.93</v>
      </c>
      <c r="G699" s="412"/>
      <c r="H699" s="2"/>
      <c r="I699" s="34"/>
      <c r="J699" s="2"/>
      <c r="K699" s="326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89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89"/>
      <c r="BJ699" s="305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</row>
    <row r="700" spans="1:113" s="15" customFormat="1" ht="21.75" customHeight="1" x14ac:dyDescent="0.2">
      <c r="A700" s="404" t="s">
        <v>571</v>
      </c>
      <c r="B700" s="381" t="s">
        <v>576</v>
      </c>
      <c r="C700" s="384" t="s">
        <v>228</v>
      </c>
      <c r="D700" s="13">
        <f>26.3*1.05</f>
        <v>27.62</v>
      </c>
      <c r="E700" s="14">
        <f>D700*20%</f>
        <v>5.52</v>
      </c>
      <c r="F700" s="97">
        <f>D700+E700</f>
        <v>33.14</v>
      </c>
      <c r="G700" s="412"/>
      <c r="H700" s="2"/>
      <c r="I700" s="34"/>
      <c r="J700" s="2"/>
      <c r="K700" s="326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89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89"/>
      <c r="BJ700" s="305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</row>
    <row r="701" spans="1:113" s="15" customFormat="1" ht="22.5" customHeight="1" x14ac:dyDescent="0.2">
      <c r="A701" s="109" t="s">
        <v>29</v>
      </c>
      <c r="B701" s="450" t="s">
        <v>577</v>
      </c>
      <c r="C701" s="450"/>
      <c r="D701" s="450"/>
      <c r="E701" s="450"/>
      <c r="F701" s="450"/>
      <c r="G701" s="412"/>
      <c r="H701" s="2"/>
      <c r="I701" s="34"/>
      <c r="J701" s="2"/>
      <c r="K701" s="326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89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89"/>
      <c r="BJ701" s="305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</row>
    <row r="702" spans="1:113" s="15" customFormat="1" ht="18.75" customHeight="1" x14ac:dyDescent="0.2">
      <c r="A702" s="110"/>
      <c r="B702" s="451" t="s">
        <v>529</v>
      </c>
      <c r="C702" s="451"/>
      <c r="D702" s="451"/>
      <c r="E702" s="451"/>
      <c r="F702" s="451"/>
      <c r="G702" s="412"/>
      <c r="H702" s="2"/>
      <c r="I702" s="34"/>
      <c r="J702" s="2"/>
      <c r="K702" s="326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89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89"/>
      <c r="BJ702" s="305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</row>
    <row r="703" spans="1:113" s="15" customFormat="1" ht="26.25" customHeight="1" x14ac:dyDescent="0.2">
      <c r="A703" s="404" t="s">
        <v>578</v>
      </c>
      <c r="B703" s="381" t="s">
        <v>579</v>
      </c>
      <c r="C703" s="384" t="s">
        <v>228</v>
      </c>
      <c r="D703" s="13">
        <f>88.88*1.05</f>
        <v>93.32</v>
      </c>
      <c r="E703" s="14">
        <f t="shared" ref="E703:E723" si="66">D703*20%</f>
        <v>18.66</v>
      </c>
      <c r="F703" s="97">
        <f t="shared" ref="F703:F722" si="67">D703+E703</f>
        <v>111.98</v>
      </c>
      <c r="G703" s="412"/>
      <c r="H703" s="2"/>
      <c r="I703" s="34"/>
      <c r="J703" s="2"/>
      <c r="K703" s="326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89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89"/>
      <c r="BJ703" s="305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</row>
    <row r="704" spans="1:113" s="15" customFormat="1" ht="21.75" customHeight="1" x14ac:dyDescent="0.2">
      <c r="A704" s="404" t="s">
        <v>580</v>
      </c>
      <c r="B704" s="381" t="s">
        <v>581</v>
      </c>
      <c r="C704" s="384" t="s">
        <v>228</v>
      </c>
      <c r="D704" s="13">
        <f>72.42*1.05</f>
        <v>76.040000000000006</v>
      </c>
      <c r="E704" s="14">
        <f t="shared" si="66"/>
        <v>15.21</v>
      </c>
      <c r="F704" s="97">
        <f t="shared" si="67"/>
        <v>91.25</v>
      </c>
      <c r="G704" s="412"/>
      <c r="H704" s="2"/>
      <c r="I704" s="34"/>
      <c r="J704" s="2"/>
      <c r="K704" s="326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89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89"/>
      <c r="BJ704" s="305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</row>
    <row r="705" spans="1:113" s="15" customFormat="1" ht="21.75" customHeight="1" x14ac:dyDescent="0.2">
      <c r="A705" s="404" t="s">
        <v>582</v>
      </c>
      <c r="B705" s="381" t="s">
        <v>583</v>
      </c>
      <c r="C705" s="384" t="s">
        <v>228</v>
      </c>
      <c r="D705" s="13">
        <f>54.3*1.05</f>
        <v>57.02</v>
      </c>
      <c r="E705" s="14">
        <f t="shared" si="66"/>
        <v>11.4</v>
      </c>
      <c r="F705" s="97">
        <f t="shared" si="67"/>
        <v>68.42</v>
      </c>
      <c r="G705" s="412"/>
      <c r="H705" s="2"/>
      <c r="I705" s="34"/>
      <c r="J705" s="2"/>
      <c r="K705" s="326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89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89"/>
      <c r="BJ705" s="305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</row>
    <row r="706" spans="1:113" s="15" customFormat="1" ht="21" customHeight="1" x14ac:dyDescent="0.2">
      <c r="A706" s="404" t="s">
        <v>584</v>
      </c>
      <c r="B706" s="381" t="s">
        <v>585</v>
      </c>
      <c r="C706" s="384" t="s">
        <v>228</v>
      </c>
      <c r="D706" s="13">
        <f>99.75*1.05</f>
        <v>104.74</v>
      </c>
      <c r="E706" s="14">
        <f t="shared" si="66"/>
        <v>20.95</v>
      </c>
      <c r="F706" s="97">
        <f t="shared" si="67"/>
        <v>125.69</v>
      </c>
      <c r="G706" s="412"/>
      <c r="H706" s="2"/>
      <c r="I706" s="34"/>
      <c r="J706" s="2"/>
      <c r="K706" s="326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89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89"/>
      <c r="BJ706" s="305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</row>
    <row r="707" spans="1:113" s="15" customFormat="1" ht="19.5" customHeight="1" x14ac:dyDescent="0.2">
      <c r="A707" s="404" t="s">
        <v>586</v>
      </c>
      <c r="B707" s="381" t="s">
        <v>587</v>
      </c>
      <c r="C707" s="384" t="s">
        <v>228</v>
      </c>
      <c r="D707" s="13">
        <f>29.16*1.05</f>
        <v>30.62</v>
      </c>
      <c r="E707" s="14">
        <f t="shared" si="66"/>
        <v>6.12</v>
      </c>
      <c r="F707" s="97">
        <f>D707+E707</f>
        <v>36.74</v>
      </c>
      <c r="G707" s="412"/>
      <c r="H707" s="2"/>
      <c r="I707" s="34"/>
      <c r="J707" s="2"/>
      <c r="K707" s="326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89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89"/>
      <c r="BJ707" s="305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</row>
    <row r="708" spans="1:113" s="15" customFormat="1" ht="20.25" customHeight="1" x14ac:dyDescent="0.2">
      <c r="A708" s="404" t="s">
        <v>588</v>
      </c>
      <c r="B708" s="381" t="s">
        <v>589</v>
      </c>
      <c r="C708" s="384" t="s">
        <v>228</v>
      </c>
      <c r="D708" s="13">
        <f>35.36*1.05</f>
        <v>37.130000000000003</v>
      </c>
      <c r="E708" s="14">
        <f t="shared" si="66"/>
        <v>7.43</v>
      </c>
      <c r="F708" s="97">
        <f t="shared" si="67"/>
        <v>44.56</v>
      </c>
      <c r="G708" s="412"/>
      <c r="H708" s="2"/>
      <c r="I708" s="34"/>
      <c r="J708" s="2"/>
      <c r="K708" s="326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89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89"/>
      <c r="BJ708" s="305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</row>
    <row r="709" spans="1:113" s="15" customFormat="1" ht="28.5" customHeight="1" x14ac:dyDescent="0.2">
      <c r="A709" s="404" t="s">
        <v>590</v>
      </c>
      <c r="B709" s="381" t="s">
        <v>591</v>
      </c>
      <c r="C709" s="384" t="s">
        <v>228</v>
      </c>
      <c r="D709" s="13">
        <f>130.89*1.05</f>
        <v>137.43</v>
      </c>
      <c r="E709" s="14">
        <f t="shared" si="66"/>
        <v>27.49</v>
      </c>
      <c r="F709" s="97">
        <f>D709+E709</f>
        <v>164.92</v>
      </c>
      <c r="G709" s="412"/>
      <c r="H709" s="2"/>
      <c r="I709" s="34"/>
      <c r="J709" s="2"/>
      <c r="K709" s="326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89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89"/>
      <c r="BJ709" s="305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</row>
    <row r="710" spans="1:113" s="15" customFormat="1" ht="22.5" customHeight="1" x14ac:dyDescent="0.2">
      <c r="A710" s="404" t="s">
        <v>592</v>
      </c>
      <c r="B710" s="381" t="s">
        <v>595</v>
      </c>
      <c r="C710" s="384" t="s">
        <v>228</v>
      </c>
      <c r="D710" s="13">
        <f>72.18*1.05</f>
        <v>75.790000000000006</v>
      </c>
      <c r="E710" s="14">
        <f t="shared" si="66"/>
        <v>15.16</v>
      </c>
      <c r="F710" s="97">
        <f t="shared" si="67"/>
        <v>90.95</v>
      </c>
      <c r="G710" s="412"/>
      <c r="H710" s="2"/>
      <c r="I710" s="34"/>
      <c r="J710" s="2"/>
      <c r="K710" s="326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89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89"/>
      <c r="BJ710" s="305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</row>
    <row r="711" spans="1:113" s="15" customFormat="1" ht="34.5" customHeight="1" x14ac:dyDescent="0.2">
      <c r="A711" s="404" t="s">
        <v>594</v>
      </c>
      <c r="B711" s="381" t="s">
        <v>597</v>
      </c>
      <c r="C711" s="384" t="s">
        <v>228</v>
      </c>
      <c r="D711" s="13">
        <f>79.32*1.05</f>
        <v>83.29</v>
      </c>
      <c r="E711" s="14">
        <f t="shared" si="66"/>
        <v>16.66</v>
      </c>
      <c r="F711" s="97">
        <f t="shared" si="67"/>
        <v>99.95</v>
      </c>
      <c r="G711" s="412"/>
      <c r="H711" s="2"/>
      <c r="I711" s="34"/>
      <c r="J711" s="2"/>
      <c r="K711" s="326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89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89"/>
      <c r="BJ711" s="305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</row>
    <row r="712" spans="1:113" s="15" customFormat="1" ht="30.75" customHeight="1" x14ac:dyDescent="0.2">
      <c r="A712" s="404" t="s">
        <v>596</v>
      </c>
      <c r="B712" s="381" t="s">
        <v>599</v>
      </c>
      <c r="C712" s="384" t="s">
        <v>228</v>
      </c>
      <c r="D712" s="13">
        <f>78.26*1.05</f>
        <v>82.17</v>
      </c>
      <c r="E712" s="14">
        <f t="shared" si="66"/>
        <v>16.43</v>
      </c>
      <c r="F712" s="97">
        <f t="shared" si="67"/>
        <v>98.6</v>
      </c>
      <c r="G712" s="412"/>
      <c r="H712" s="2"/>
      <c r="I712" s="34"/>
      <c r="J712" s="2"/>
      <c r="K712" s="326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89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89"/>
      <c r="BJ712" s="305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</row>
    <row r="713" spans="1:113" s="15" customFormat="1" ht="30.75" customHeight="1" x14ac:dyDescent="0.2">
      <c r="A713" s="404" t="s">
        <v>598</v>
      </c>
      <c r="B713" s="381" t="s">
        <v>601</v>
      </c>
      <c r="C713" s="384" t="s">
        <v>228</v>
      </c>
      <c r="D713" s="13">
        <f>32.27*1.05</f>
        <v>33.880000000000003</v>
      </c>
      <c r="E713" s="14">
        <f t="shared" si="66"/>
        <v>6.78</v>
      </c>
      <c r="F713" s="97">
        <f t="shared" si="67"/>
        <v>40.659999999999997</v>
      </c>
      <c r="G713" s="412"/>
      <c r="H713" s="2"/>
      <c r="I713" s="34"/>
      <c r="J713" s="2"/>
      <c r="K713" s="326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89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89"/>
      <c r="BJ713" s="305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</row>
    <row r="714" spans="1:113" s="15" customFormat="1" ht="35.25" customHeight="1" x14ac:dyDescent="0.2">
      <c r="A714" s="404" t="s">
        <v>600</v>
      </c>
      <c r="B714" s="381" t="s">
        <v>603</v>
      </c>
      <c r="C714" s="384" t="s">
        <v>228</v>
      </c>
      <c r="D714" s="13">
        <f>23.41*1.05</f>
        <v>24.58</v>
      </c>
      <c r="E714" s="14">
        <f t="shared" si="66"/>
        <v>4.92</v>
      </c>
      <c r="F714" s="97">
        <f t="shared" si="67"/>
        <v>29.5</v>
      </c>
      <c r="G714" s="412"/>
      <c r="H714" s="2"/>
      <c r="I714" s="34"/>
      <c r="J714" s="2"/>
      <c r="K714" s="326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89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89"/>
      <c r="BJ714" s="305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</row>
    <row r="715" spans="1:113" s="15" customFormat="1" ht="26.25" customHeight="1" x14ac:dyDescent="0.2">
      <c r="A715" s="404" t="s">
        <v>602</v>
      </c>
      <c r="B715" s="381" t="s">
        <v>605</v>
      </c>
      <c r="C715" s="384" t="s">
        <v>228</v>
      </c>
      <c r="D715" s="13">
        <f>86.35*1.05</f>
        <v>90.67</v>
      </c>
      <c r="E715" s="14">
        <f t="shared" si="66"/>
        <v>18.13</v>
      </c>
      <c r="F715" s="97">
        <f t="shared" si="67"/>
        <v>108.8</v>
      </c>
      <c r="G715" s="412"/>
      <c r="H715" s="2"/>
      <c r="I715" s="34"/>
      <c r="J715" s="2"/>
      <c r="K715" s="326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89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89"/>
      <c r="BJ715" s="305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</row>
    <row r="716" spans="1:113" s="15" customFormat="1" ht="24.75" customHeight="1" x14ac:dyDescent="0.2">
      <c r="A716" s="404" t="s">
        <v>604</v>
      </c>
      <c r="B716" s="381" t="s">
        <v>545</v>
      </c>
      <c r="C716" s="384" t="s">
        <v>228</v>
      </c>
      <c r="D716" s="13">
        <f>85.24*1.05</f>
        <v>89.5</v>
      </c>
      <c r="E716" s="14">
        <f t="shared" si="66"/>
        <v>17.899999999999999</v>
      </c>
      <c r="F716" s="97">
        <f t="shared" si="67"/>
        <v>107.4</v>
      </c>
      <c r="G716" s="412"/>
      <c r="H716" s="2"/>
      <c r="I716" s="34"/>
      <c r="J716" s="2"/>
      <c r="K716" s="326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89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89"/>
      <c r="BJ716" s="305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</row>
    <row r="717" spans="1:113" s="15" customFormat="1" ht="29.25" customHeight="1" x14ac:dyDescent="0.2">
      <c r="A717" s="404" t="s">
        <v>606</v>
      </c>
      <c r="B717" s="381" t="s">
        <v>608</v>
      </c>
      <c r="C717" s="384" t="s">
        <v>228</v>
      </c>
      <c r="D717" s="13">
        <f>52.42*1.05</f>
        <v>55.04</v>
      </c>
      <c r="E717" s="14">
        <f t="shared" si="66"/>
        <v>11.01</v>
      </c>
      <c r="F717" s="97">
        <f t="shared" si="67"/>
        <v>66.05</v>
      </c>
      <c r="G717" s="412"/>
      <c r="H717" s="2"/>
      <c r="I717" s="34"/>
      <c r="J717" s="2"/>
      <c r="K717" s="326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89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89"/>
      <c r="BJ717" s="305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</row>
    <row r="718" spans="1:113" s="15" customFormat="1" ht="26.25" customHeight="1" x14ac:dyDescent="0.2">
      <c r="A718" s="404" t="s">
        <v>607</v>
      </c>
      <c r="B718" s="381" t="s">
        <v>610</v>
      </c>
      <c r="C718" s="384" t="s">
        <v>228</v>
      </c>
      <c r="D718" s="13">
        <f>50.73*1.05</f>
        <v>53.27</v>
      </c>
      <c r="E718" s="14">
        <f t="shared" si="66"/>
        <v>10.65</v>
      </c>
      <c r="F718" s="97">
        <f t="shared" si="67"/>
        <v>63.92</v>
      </c>
      <c r="G718" s="412"/>
      <c r="H718" s="2"/>
      <c r="I718" s="34"/>
      <c r="J718" s="2"/>
      <c r="K718" s="326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89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89"/>
      <c r="BJ718" s="305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</row>
    <row r="719" spans="1:113" s="15" customFormat="1" ht="36" customHeight="1" x14ac:dyDescent="0.2">
      <c r="A719" s="404" t="s">
        <v>609</v>
      </c>
      <c r="B719" s="381" t="s">
        <v>612</v>
      </c>
      <c r="C719" s="384" t="s">
        <v>228</v>
      </c>
      <c r="D719" s="13">
        <f>27.03*1.05</f>
        <v>28.38</v>
      </c>
      <c r="E719" s="14">
        <f t="shared" si="66"/>
        <v>5.68</v>
      </c>
      <c r="F719" s="97">
        <f t="shared" si="67"/>
        <v>34.06</v>
      </c>
      <c r="G719" s="412"/>
      <c r="H719" s="2"/>
      <c r="I719" s="34"/>
      <c r="J719" s="2"/>
      <c r="K719" s="326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89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89"/>
      <c r="BJ719" s="305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</row>
    <row r="720" spans="1:113" s="15" customFormat="1" ht="28.5" customHeight="1" x14ac:dyDescent="0.2">
      <c r="A720" s="404" t="s">
        <v>611</v>
      </c>
      <c r="B720" s="381" t="s">
        <v>614</v>
      </c>
      <c r="C720" s="384" t="s">
        <v>228</v>
      </c>
      <c r="D720" s="13">
        <f>26.3*1.05</f>
        <v>27.62</v>
      </c>
      <c r="E720" s="14">
        <f t="shared" si="66"/>
        <v>5.52</v>
      </c>
      <c r="F720" s="97">
        <f t="shared" si="67"/>
        <v>33.14</v>
      </c>
      <c r="G720" s="412"/>
      <c r="H720" s="2"/>
      <c r="I720" s="34"/>
      <c r="J720" s="2"/>
      <c r="K720" s="326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89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89"/>
      <c r="BJ720" s="305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</row>
    <row r="721" spans="1:113" s="15" customFormat="1" ht="29.25" customHeight="1" x14ac:dyDescent="0.2">
      <c r="A721" s="404" t="s">
        <v>613</v>
      </c>
      <c r="B721" s="392" t="s">
        <v>616</v>
      </c>
      <c r="C721" s="384" t="s">
        <v>228</v>
      </c>
      <c r="D721" s="13">
        <f>118.9*1.05</f>
        <v>124.85</v>
      </c>
      <c r="E721" s="14">
        <f t="shared" si="66"/>
        <v>24.97</v>
      </c>
      <c r="F721" s="97">
        <f t="shared" si="67"/>
        <v>149.82</v>
      </c>
      <c r="G721" s="412"/>
      <c r="H721" s="2"/>
      <c r="I721" s="34"/>
      <c r="J721" s="2"/>
      <c r="K721" s="326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89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89"/>
      <c r="BJ721" s="305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</row>
    <row r="722" spans="1:113" s="15" customFormat="1" ht="25.5" customHeight="1" x14ac:dyDescent="0.2">
      <c r="A722" s="404" t="s">
        <v>615</v>
      </c>
      <c r="B722" s="392" t="s">
        <v>618</v>
      </c>
      <c r="C722" s="384" t="s">
        <v>228</v>
      </c>
      <c r="D722" s="13">
        <f>245.5*1.05</f>
        <v>257.77999999999997</v>
      </c>
      <c r="E722" s="14">
        <f t="shared" si="66"/>
        <v>51.56</v>
      </c>
      <c r="F722" s="97">
        <f t="shared" si="67"/>
        <v>309.33999999999997</v>
      </c>
      <c r="G722" s="412"/>
      <c r="H722" s="2"/>
      <c r="I722" s="34"/>
      <c r="J722" s="2"/>
      <c r="K722" s="326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89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89"/>
      <c r="BJ722" s="305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</row>
    <row r="723" spans="1:113" s="15" customFormat="1" ht="46.5" customHeight="1" x14ac:dyDescent="0.2">
      <c r="A723" s="404" t="s">
        <v>617</v>
      </c>
      <c r="B723" s="381" t="s">
        <v>625</v>
      </c>
      <c r="C723" s="384" t="s">
        <v>228</v>
      </c>
      <c r="D723" s="13">
        <f>235.34*1.05</f>
        <v>247.11</v>
      </c>
      <c r="E723" s="14">
        <f t="shared" si="66"/>
        <v>49.42</v>
      </c>
      <c r="F723" s="97">
        <f>D723+E723</f>
        <v>296.52999999999997</v>
      </c>
      <c r="G723" s="412"/>
      <c r="H723" s="2"/>
      <c r="I723" s="34"/>
      <c r="J723" s="2"/>
      <c r="K723" s="326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89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89"/>
      <c r="BJ723" s="305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</row>
    <row r="724" spans="1:113" s="15" customFormat="1" ht="21" customHeight="1" x14ac:dyDescent="0.2">
      <c r="A724" s="380" t="s">
        <v>31</v>
      </c>
      <c r="B724" s="429" t="s">
        <v>626</v>
      </c>
      <c r="C724" s="429"/>
      <c r="D724" s="429"/>
      <c r="E724" s="429"/>
      <c r="F724" s="429"/>
      <c r="G724" s="412"/>
      <c r="H724" s="2"/>
      <c r="I724" s="34"/>
      <c r="J724" s="2"/>
      <c r="K724" s="326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89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89"/>
      <c r="BJ724" s="305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</row>
    <row r="725" spans="1:113" s="15" customFormat="1" ht="20.25" customHeight="1" x14ac:dyDescent="0.2">
      <c r="A725" s="404"/>
      <c r="B725" s="430" t="s">
        <v>529</v>
      </c>
      <c r="C725" s="430"/>
      <c r="D725" s="430"/>
      <c r="E725" s="430"/>
      <c r="F725" s="430"/>
      <c r="G725" s="412"/>
      <c r="H725" s="2"/>
      <c r="I725" s="34"/>
      <c r="J725" s="2"/>
      <c r="K725" s="326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89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89"/>
      <c r="BJ725" s="305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</row>
    <row r="726" spans="1:113" s="15" customFormat="1" ht="21" customHeight="1" x14ac:dyDescent="0.2">
      <c r="A726" s="404" t="s">
        <v>627</v>
      </c>
      <c r="B726" s="381" t="s">
        <v>579</v>
      </c>
      <c r="C726" s="384" t="s">
        <v>228</v>
      </c>
      <c r="D726" s="13">
        <f>106.08*1.05</f>
        <v>111.38</v>
      </c>
      <c r="E726" s="14">
        <f>D726*20%</f>
        <v>22.28</v>
      </c>
      <c r="F726" s="97">
        <f>D726+E726</f>
        <v>133.66</v>
      </c>
      <c r="G726" s="412"/>
      <c r="H726" s="2"/>
      <c r="I726" s="34"/>
      <c r="J726" s="2"/>
      <c r="K726" s="326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89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89"/>
      <c r="BJ726" s="305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</row>
    <row r="727" spans="1:113" s="15" customFormat="1" ht="18" customHeight="1" x14ac:dyDescent="0.2">
      <c r="A727" s="404" t="s">
        <v>628</v>
      </c>
      <c r="B727" s="381" t="s">
        <v>581</v>
      </c>
      <c r="C727" s="384" t="s">
        <v>228</v>
      </c>
      <c r="D727" s="13">
        <f>58.22*1.05</f>
        <v>61.13</v>
      </c>
      <c r="E727" s="14">
        <f>D727*20%</f>
        <v>12.23</v>
      </c>
      <c r="F727" s="97">
        <f>D727+E727</f>
        <v>73.36</v>
      </c>
      <c r="G727" s="412"/>
      <c r="H727" s="2"/>
      <c r="I727" s="34"/>
      <c r="J727" s="2"/>
      <c r="K727" s="326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89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89"/>
      <c r="BJ727" s="305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</row>
    <row r="728" spans="1:113" s="15" customFormat="1" ht="20.25" customHeight="1" x14ac:dyDescent="0.2">
      <c r="A728" s="404" t="s">
        <v>629</v>
      </c>
      <c r="B728" s="381" t="s">
        <v>583</v>
      </c>
      <c r="C728" s="384" t="s">
        <v>228</v>
      </c>
      <c r="D728" s="13">
        <f>54.3*1.05</f>
        <v>57.02</v>
      </c>
      <c r="E728" s="14">
        <f>D728*20%</f>
        <v>11.4</v>
      </c>
      <c r="F728" s="97">
        <f>D728+E728</f>
        <v>68.42</v>
      </c>
      <c r="G728" s="412"/>
      <c r="H728" s="2"/>
      <c r="I728" s="34"/>
      <c r="J728" s="2"/>
      <c r="K728" s="326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89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89"/>
      <c r="BJ728" s="305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</row>
    <row r="729" spans="1:113" s="15" customFormat="1" ht="27.75" customHeight="1" x14ac:dyDescent="0.2">
      <c r="A729" s="404" t="s">
        <v>631</v>
      </c>
      <c r="B729" s="111" t="s">
        <v>637</v>
      </c>
      <c r="C729" s="384" t="s">
        <v>228</v>
      </c>
      <c r="D729" s="13">
        <f>227.78*1.05</f>
        <v>239.17</v>
      </c>
      <c r="E729" s="14">
        <f>D729*20%</f>
        <v>47.83</v>
      </c>
      <c r="F729" s="97">
        <f>D729+E729</f>
        <v>287</v>
      </c>
      <c r="G729" s="412"/>
      <c r="H729" s="2"/>
      <c r="I729" s="34"/>
      <c r="J729" s="2"/>
      <c r="K729" s="326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89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89"/>
      <c r="BJ729" s="305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</row>
    <row r="730" spans="1:113" s="15" customFormat="1" ht="18" customHeight="1" x14ac:dyDescent="0.2">
      <c r="A730" s="108" t="s">
        <v>33</v>
      </c>
      <c r="B730" s="429" t="s">
        <v>638</v>
      </c>
      <c r="C730" s="429"/>
      <c r="D730" s="429"/>
      <c r="E730" s="429"/>
      <c r="F730" s="429"/>
      <c r="G730" s="412"/>
      <c r="H730" s="2"/>
      <c r="I730" s="34"/>
      <c r="J730" s="2"/>
      <c r="K730" s="326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89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89"/>
      <c r="BJ730" s="305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</row>
    <row r="731" spans="1:113" s="15" customFormat="1" ht="53.25" customHeight="1" x14ac:dyDescent="0.2">
      <c r="A731" s="404" t="s">
        <v>639</v>
      </c>
      <c r="B731" s="397" t="s">
        <v>564</v>
      </c>
      <c r="C731" s="384" t="s">
        <v>228</v>
      </c>
      <c r="D731" s="13">
        <f>76.15*1.05</f>
        <v>79.959999999999994</v>
      </c>
      <c r="E731" s="14">
        <f>D731*20%</f>
        <v>15.99</v>
      </c>
      <c r="F731" s="97">
        <f>D731+E731</f>
        <v>95.95</v>
      </c>
      <c r="G731" s="412"/>
      <c r="H731" s="2"/>
      <c r="I731" s="34"/>
      <c r="J731" s="2"/>
      <c r="K731" s="326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89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89"/>
      <c r="BJ731" s="305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</row>
    <row r="732" spans="1:113" s="15" customFormat="1" ht="16.5" customHeight="1" x14ac:dyDescent="0.2">
      <c r="A732" s="404"/>
      <c r="B732" s="430" t="s">
        <v>529</v>
      </c>
      <c r="C732" s="430"/>
      <c r="D732" s="430"/>
      <c r="E732" s="430"/>
      <c r="F732" s="430"/>
      <c r="G732" s="412"/>
      <c r="H732" s="2"/>
      <c r="I732" s="34"/>
      <c r="J732" s="2"/>
      <c r="K732" s="326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89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89"/>
      <c r="BJ732" s="305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</row>
    <row r="733" spans="1:113" s="15" customFormat="1" ht="21.75" customHeight="1" x14ac:dyDescent="0.2">
      <c r="A733" s="404" t="s">
        <v>640</v>
      </c>
      <c r="B733" s="381" t="s">
        <v>543</v>
      </c>
      <c r="C733" s="384" t="s">
        <v>228</v>
      </c>
      <c r="D733" s="13">
        <f>60.54*1.05</f>
        <v>63.57</v>
      </c>
      <c r="E733" s="14">
        <f t="shared" ref="E733:E738" si="68">D733*20%</f>
        <v>12.71</v>
      </c>
      <c r="F733" s="97">
        <f t="shared" ref="F733:F738" si="69">D733+E733</f>
        <v>76.28</v>
      </c>
      <c r="G733" s="412"/>
      <c r="H733" s="2"/>
      <c r="I733" s="34"/>
      <c r="J733" s="2"/>
      <c r="K733" s="326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89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89"/>
      <c r="BJ733" s="305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</row>
    <row r="734" spans="1:113" s="15" customFormat="1" ht="22.5" customHeight="1" x14ac:dyDescent="0.2">
      <c r="A734" s="404" t="s">
        <v>641</v>
      </c>
      <c r="B734" s="381" t="s">
        <v>572</v>
      </c>
      <c r="C734" s="384" t="s">
        <v>228</v>
      </c>
      <c r="D734" s="13">
        <f>65.17*1.05</f>
        <v>68.430000000000007</v>
      </c>
      <c r="E734" s="14">
        <f t="shared" si="68"/>
        <v>13.69</v>
      </c>
      <c r="F734" s="97">
        <f t="shared" si="69"/>
        <v>82.12</v>
      </c>
      <c r="G734" s="412"/>
      <c r="H734" s="2"/>
      <c r="I734" s="34"/>
      <c r="J734" s="2"/>
      <c r="K734" s="326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89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89"/>
      <c r="BJ734" s="305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</row>
    <row r="735" spans="1:113" s="15" customFormat="1" ht="21" customHeight="1" x14ac:dyDescent="0.2">
      <c r="A735" s="404" t="s">
        <v>642</v>
      </c>
      <c r="B735" s="381" t="s">
        <v>643</v>
      </c>
      <c r="C735" s="384" t="s">
        <v>228</v>
      </c>
      <c r="D735" s="13">
        <f>213.31*1.05</f>
        <v>223.98</v>
      </c>
      <c r="E735" s="14">
        <f t="shared" si="68"/>
        <v>44.8</v>
      </c>
      <c r="F735" s="97">
        <f t="shared" si="69"/>
        <v>268.77999999999997</v>
      </c>
      <c r="G735" s="412"/>
      <c r="H735" s="2"/>
      <c r="I735" s="34"/>
      <c r="J735" s="2"/>
      <c r="K735" s="326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89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89"/>
      <c r="BJ735" s="305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</row>
    <row r="736" spans="1:113" s="15" customFormat="1" ht="21.75" customHeight="1" x14ac:dyDescent="0.2">
      <c r="A736" s="404" t="s">
        <v>644</v>
      </c>
      <c r="B736" s="381" t="s">
        <v>645</v>
      </c>
      <c r="C736" s="384" t="s">
        <v>228</v>
      </c>
      <c r="D736" s="13">
        <f>37.15*1.05</f>
        <v>39.01</v>
      </c>
      <c r="E736" s="14">
        <f t="shared" si="68"/>
        <v>7.8</v>
      </c>
      <c r="F736" s="97">
        <f t="shared" si="69"/>
        <v>46.81</v>
      </c>
      <c r="G736" s="412"/>
      <c r="H736" s="2"/>
      <c r="I736" s="34"/>
      <c r="J736" s="2"/>
      <c r="K736" s="326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89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89"/>
      <c r="BJ736" s="305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</row>
    <row r="737" spans="1:113" s="15" customFormat="1" ht="33.75" customHeight="1" x14ac:dyDescent="0.2">
      <c r="A737" s="404" t="s">
        <v>646</v>
      </c>
      <c r="B737" s="381" t="s">
        <v>647</v>
      </c>
      <c r="C737" s="384" t="s">
        <v>228</v>
      </c>
      <c r="D737" s="13">
        <f>132.54*1.05</f>
        <v>139.16999999999999</v>
      </c>
      <c r="E737" s="14">
        <f t="shared" si="68"/>
        <v>27.83</v>
      </c>
      <c r="F737" s="97">
        <f>D737+E737</f>
        <v>167</v>
      </c>
      <c r="G737" s="412"/>
      <c r="H737" s="2"/>
      <c r="I737" s="34"/>
      <c r="J737" s="2"/>
      <c r="K737" s="326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89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89"/>
      <c r="BJ737" s="305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</row>
    <row r="738" spans="1:113" s="15" customFormat="1" ht="33.75" customHeight="1" x14ac:dyDescent="0.2">
      <c r="A738" s="404" t="s">
        <v>648</v>
      </c>
      <c r="B738" s="381" t="s">
        <v>649</v>
      </c>
      <c r="C738" s="384" t="s">
        <v>228</v>
      </c>
      <c r="D738" s="13">
        <f>130.71*1.05</f>
        <v>137.25</v>
      </c>
      <c r="E738" s="14">
        <f t="shared" si="68"/>
        <v>27.45</v>
      </c>
      <c r="F738" s="97">
        <f t="shared" si="69"/>
        <v>164.7</v>
      </c>
      <c r="G738" s="412"/>
      <c r="H738" s="2"/>
      <c r="I738" s="34"/>
      <c r="J738" s="2"/>
      <c r="K738" s="326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89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89"/>
      <c r="BJ738" s="305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</row>
    <row r="739" spans="1:113" s="15" customFormat="1" ht="20.25" customHeight="1" x14ac:dyDescent="0.2">
      <c r="A739" s="108" t="s">
        <v>35</v>
      </c>
      <c r="B739" s="429" t="s">
        <v>650</v>
      </c>
      <c r="C739" s="429"/>
      <c r="D739" s="429"/>
      <c r="E739" s="429"/>
      <c r="F739" s="429"/>
      <c r="G739" s="412"/>
      <c r="H739" s="2"/>
      <c r="I739" s="34"/>
      <c r="J739" s="2"/>
      <c r="K739" s="326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89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89"/>
      <c r="BJ739" s="305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</row>
    <row r="740" spans="1:113" s="15" customFormat="1" ht="49.5" customHeight="1" x14ac:dyDescent="0.2">
      <c r="A740" s="404" t="s">
        <v>259</v>
      </c>
      <c r="B740" s="397" t="s">
        <v>564</v>
      </c>
      <c r="C740" s="384" t="s">
        <v>228</v>
      </c>
      <c r="D740" s="13">
        <f>76.15*1.05</f>
        <v>79.959999999999994</v>
      </c>
      <c r="E740" s="14">
        <f>D740*20%</f>
        <v>15.99</v>
      </c>
      <c r="F740" s="97">
        <f>D740+E740</f>
        <v>95.95</v>
      </c>
      <c r="G740" s="412"/>
      <c r="H740" s="2"/>
      <c r="I740" s="34"/>
      <c r="J740" s="2"/>
      <c r="K740" s="326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89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89"/>
      <c r="BJ740" s="305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</row>
    <row r="741" spans="1:113" s="15" customFormat="1" ht="19.5" customHeight="1" x14ac:dyDescent="0.2">
      <c r="A741" s="404"/>
      <c r="B741" s="430" t="s">
        <v>529</v>
      </c>
      <c r="C741" s="430"/>
      <c r="D741" s="430"/>
      <c r="E741" s="430"/>
      <c r="F741" s="430"/>
      <c r="G741" s="412"/>
      <c r="H741" s="2"/>
      <c r="I741" s="34"/>
      <c r="J741" s="2"/>
      <c r="K741" s="326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89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89"/>
      <c r="BJ741" s="305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</row>
    <row r="742" spans="1:113" s="15" customFormat="1" ht="18.75" customHeight="1" x14ac:dyDescent="0.2">
      <c r="A742" s="404" t="s">
        <v>261</v>
      </c>
      <c r="B742" s="381" t="s">
        <v>651</v>
      </c>
      <c r="C742" s="384" t="s">
        <v>228</v>
      </c>
      <c r="D742" s="13">
        <f>58.22*1.05</f>
        <v>61.13</v>
      </c>
      <c r="E742" s="14">
        <f t="shared" ref="E742:E757" si="70">D742*20%</f>
        <v>12.23</v>
      </c>
      <c r="F742" s="97">
        <f t="shared" ref="F742:F757" si="71">D742+E742</f>
        <v>73.36</v>
      </c>
      <c r="G742" s="412"/>
      <c r="H742" s="2"/>
      <c r="I742" s="34"/>
      <c r="J742" s="2"/>
      <c r="K742" s="326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89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89"/>
      <c r="BJ742" s="305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</row>
    <row r="743" spans="1:113" s="15" customFormat="1" ht="21.75" customHeight="1" x14ac:dyDescent="0.2">
      <c r="A743" s="404" t="s">
        <v>652</v>
      </c>
      <c r="B743" s="381" t="s">
        <v>543</v>
      </c>
      <c r="C743" s="384" t="s">
        <v>228</v>
      </c>
      <c r="D743" s="13">
        <f>55.34*1.05</f>
        <v>58.11</v>
      </c>
      <c r="E743" s="14">
        <f t="shared" si="70"/>
        <v>11.62</v>
      </c>
      <c r="F743" s="97">
        <f t="shared" si="71"/>
        <v>69.73</v>
      </c>
      <c r="G743" s="412"/>
      <c r="H743" s="2"/>
      <c r="I743" s="34"/>
      <c r="J743" s="2"/>
      <c r="K743" s="326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89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89"/>
      <c r="BJ743" s="305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</row>
    <row r="744" spans="1:113" s="15" customFormat="1" ht="21" customHeight="1" x14ac:dyDescent="0.2">
      <c r="A744" s="404" t="s">
        <v>653</v>
      </c>
      <c r="B744" s="381" t="s">
        <v>654</v>
      </c>
      <c r="C744" s="384" t="s">
        <v>228</v>
      </c>
      <c r="D744" s="13">
        <f>61.45*1.05</f>
        <v>64.52</v>
      </c>
      <c r="E744" s="14">
        <f t="shared" si="70"/>
        <v>12.9</v>
      </c>
      <c r="F744" s="97">
        <f t="shared" si="71"/>
        <v>77.42</v>
      </c>
      <c r="G744" s="412"/>
      <c r="H744" s="2"/>
      <c r="I744" s="34"/>
      <c r="J744" s="2"/>
      <c r="K744" s="326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89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89"/>
      <c r="BJ744" s="305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</row>
    <row r="745" spans="1:113" s="15" customFormat="1" ht="34.5" customHeight="1" x14ac:dyDescent="0.2">
      <c r="A745" s="404" t="s">
        <v>655</v>
      </c>
      <c r="B745" s="381" t="s">
        <v>656</v>
      </c>
      <c r="C745" s="384" t="s">
        <v>228</v>
      </c>
      <c r="D745" s="13">
        <f>104.43*1.05</f>
        <v>109.65</v>
      </c>
      <c r="E745" s="14">
        <f t="shared" si="70"/>
        <v>21.93</v>
      </c>
      <c r="F745" s="97">
        <f t="shared" si="71"/>
        <v>131.58000000000001</v>
      </c>
      <c r="G745" s="412"/>
      <c r="H745" s="2"/>
      <c r="I745" s="34"/>
      <c r="J745" s="2"/>
      <c r="K745" s="326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89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89"/>
      <c r="BJ745" s="305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</row>
    <row r="746" spans="1:113" s="15" customFormat="1" ht="21.75" customHeight="1" x14ac:dyDescent="0.2">
      <c r="A746" s="404" t="s">
        <v>657</v>
      </c>
      <c r="B746" s="381" t="s">
        <v>658</v>
      </c>
      <c r="C746" s="384" t="s">
        <v>228</v>
      </c>
      <c r="D746" s="13">
        <f>73.26*1.05</f>
        <v>76.92</v>
      </c>
      <c r="E746" s="14">
        <f t="shared" si="70"/>
        <v>15.38</v>
      </c>
      <c r="F746" s="97">
        <f>D746+E746</f>
        <v>92.3</v>
      </c>
      <c r="G746" s="412"/>
      <c r="H746" s="2"/>
      <c r="I746" s="34"/>
      <c r="J746" s="2"/>
      <c r="K746" s="326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89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89"/>
      <c r="BJ746" s="305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</row>
    <row r="747" spans="1:113" s="15" customFormat="1" ht="31.5" customHeight="1" x14ac:dyDescent="0.2">
      <c r="A747" s="404" t="s">
        <v>659</v>
      </c>
      <c r="B747" s="381" t="s">
        <v>660</v>
      </c>
      <c r="C747" s="384" t="s">
        <v>228</v>
      </c>
      <c r="D747" s="13">
        <f>80.77*1.05</f>
        <v>84.81</v>
      </c>
      <c r="E747" s="14">
        <f t="shared" si="70"/>
        <v>16.96</v>
      </c>
      <c r="F747" s="97">
        <f>D747+E747</f>
        <v>101.77</v>
      </c>
      <c r="G747" s="412"/>
      <c r="H747" s="2"/>
      <c r="I747" s="34"/>
      <c r="J747" s="2"/>
      <c r="K747" s="326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89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89"/>
      <c r="BJ747" s="305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</row>
    <row r="748" spans="1:113" s="15" customFormat="1" ht="19.5" customHeight="1" x14ac:dyDescent="0.2">
      <c r="A748" s="404" t="s">
        <v>661</v>
      </c>
      <c r="B748" s="381" t="s">
        <v>662</v>
      </c>
      <c r="C748" s="384" t="s">
        <v>228</v>
      </c>
      <c r="D748" s="13">
        <f>75.11*1.05</f>
        <v>78.87</v>
      </c>
      <c r="E748" s="14">
        <f t="shared" si="70"/>
        <v>15.77</v>
      </c>
      <c r="F748" s="97">
        <f t="shared" si="71"/>
        <v>94.64</v>
      </c>
      <c r="G748" s="412"/>
      <c r="H748" s="2"/>
      <c r="I748" s="34"/>
      <c r="J748" s="2"/>
      <c r="K748" s="326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89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89"/>
      <c r="BJ748" s="305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</row>
    <row r="749" spans="1:113" s="15" customFormat="1" ht="36.75" customHeight="1" x14ac:dyDescent="0.2">
      <c r="A749" s="404" t="s">
        <v>663</v>
      </c>
      <c r="B749" s="381" t="s">
        <v>664</v>
      </c>
      <c r="C749" s="384" t="s">
        <v>228</v>
      </c>
      <c r="D749" s="13">
        <f>222.14*1.05</f>
        <v>233.25</v>
      </c>
      <c r="E749" s="14">
        <f t="shared" si="70"/>
        <v>46.65</v>
      </c>
      <c r="F749" s="97">
        <f t="shared" si="71"/>
        <v>279.89999999999998</v>
      </c>
      <c r="G749" s="412"/>
      <c r="H749" s="2"/>
      <c r="I749" s="34"/>
      <c r="J749" s="2"/>
      <c r="K749" s="326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89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89"/>
      <c r="BJ749" s="305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</row>
    <row r="750" spans="1:113" s="15" customFormat="1" ht="30" customHeight="1" x14ac:dyDescent="0.2">
      <c r="A750" s="404" t="s">
        <v>665</v>
      </c>
      <c r="B750" s="381" t="s">
        <v>666</v>
      </c>
      <c r="C750" s="384" t="s">
        <v>228</v>
      </c>
      <c r="D750" s="13">
        <f>65.07*1.05</f>
        <v>68.319999999999993</v>
      </c>
      <c r="E750" s="14">
        <f t="shared" si="70"/>
        <v>13.66</v>
      </c>
      <c r="F750" s="97">
        <f t="shared" si="71"/>
        <v>81.98</v>
      </c>
      <c r="G750" s="412"/>
      <c r="H750" s="2"/>
      <c r="I750" s="34"/>
      <c r="J750" s="2"/>
      <c r="K750" s="326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89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89"/>
      <c r="BJ750" s="305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</row>
    <row r="751" spans="1:113" s="15" customFormat="1" ht="24" customHeight="1" x14ac:dyDescent="0.2">
      <c r="A751" s="404" t="s">
        <v>667</v>
      </c>
      <c r="B751" s="381" t="s">
        <v>668</v>
      </c>
      <c r="C751" s="384" t="s">
        <v>228</v>
      </c>
      <c r="D751" s="13">
        <f>52.84*1.05</f>
        <v>55.48</v>
      </c>
      <c r="E751" s="14">
        <f t="shared" si="70"/>
        <v>11.1</v>
      </c>
      <c r="F751" s="97">
        <f t="shared" si="71"/>
        <v>66.58</v>
      </c>
      <c r="G751" s="412"/>
      <c r="H751" s="2"/>
      <c r="I751" s="34"/>
      <c r="J751" s="2"/>
      <c r="K751" s="326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89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89"/>
      <c r="BJ751" s="305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</row>
    <row r="752" spans="1:113" s="15" customFormat="1" ht="32.25" customHeight="1" x14ac:dyDescent="0.2">
      <c r="A752" s="404" t="s">
        <v>669</v>
      </c>
      <c r="B752" s="381" t="s">
        <v>670</v>
      </c>
      <c r="C752" s="384" t="s">
        <v>228</v>
      </c>
      <c r="D752" s="13">
        <f>63.04*1.05</f>
        <v>66.19</v>
      </c>
      <c r="E752" s="14">
        <f t="shared" si="70"/>
        <v>13.24</v>
      </c>
      <c r="F752" s="97">
        <f t="shared" si="71"/>
        <v>79.430000000000007</v>
      </c>
      <c r="G752" s="412"/>
      <c r="H752" s="2"/>
      <c r="I752" s="34"/>
      <c r="J752" s="2"/>
      <c r="K752" s="326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89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89"/>
      <c r="BJ752" s="305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</row>
    <row r="753" spans="1:113" s="15" customFormat="1" ht="18.75" customHeight="1" x14ac:dyDescent="0.2">
      <c r="A753" s="404" t="s">
        <v>671</v>
      </c>
      <c r="B753" s="381" t="s">
        <v>645</v>
      </c>
      <c r="C753" s="384" t="s">
        <v>228</v>
      </c>
      <c r="D753" s="13">
        <f>65.06*1.05</f>
        <v>68.31</v>
      </c>
      <c r="E753" s="14">
        <f t="shared" si="70"/>
        <v>13.66</v>
      </c>
      <c r="F753" s="97">
        <f t="shared" si="71"/>
        <v>81.97</v>
      </c>
      <c r="G753" s="412"/>
      <c r="H753" s="2"/>
      <c r="I753" s="34"/>
      <c r="J753" s="2"/>
      <c r="K753" s="326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89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89"/>
      <c r="BJ753" s="305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</row>
    <row r="754" spans="1:113" s="15" customFormat="1" ht="30" customHeight="1" x14ac:dyDescent="0.2">
      <c r="A754" s="404" t="s">
        <v>672</v>
      </c>
      <c r="B754" s="381" t="s">
        <v>673</v>
      </c>
      <c r="C754" s="384" t="s">
        <v>228</v>
      </c>
      <c r="D754" s="13">
        <f>57.75*1.05</f>
        <v>60.64</v>
      </c>
      <c r="E754" s="14">
        <f t="shared" si="70"/>
        <v>12.13</v>
      </c>
      <c r="F754" s="97">
        <f t="shared" si="71"/>
        <v>72.77</v>
      </c>
      <c r="G754" s="412"/>
      <c r="H754" s="2"/>
      <c r="I754" s="34"/>
      <c r="J754" s="2"/>
      <c r="K754" s="326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89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89"/>
      <c r="BJ754" s="305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</row>
    <row r="755" spans="1:113" s="15" customFormat="1" ht="30" customHeight="1" x14ac:dyDescent="0.2">
      <c r="A755" s="404" t="s">
        <v>674</v>
      </c>
      <c r="B755" s="381" t="s">
        <v>675</v>
      </c>
      <c r="C755" s="384" t="s">
        <v>228</v>
      </c>
      <c r="D755" s="13">
        <f>167.23*1.05</f>
        <v>175.59</v>
      </c>
      <c r="E755" s="14">
        <f t="shared" si="70"/>
        <v>35.119999999999997</v>
      </c>
      <c r="F755" s="97">
        <f t="shared" si="71"/>
        <v>210.71</v>
      </c>
      <c r="G755" s="412"/>
      <c r="H755" s="2"/>
      <c r="I755" s="34"/>
      <c r="J755" s="2"/>
      <c r="K755" s="326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89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89"/>
      <c r="BJ755" s="305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</row>
    <row r="756" spans="1:113" s="15" customFormat="1" ht="33" customHeight="1" x14ac:dyDescent="0.2">
      <c r="A756" s="404" t="s">
        <v>676</v>
      </c>
      <c r="B756" s="381" t="s">
        <v>677</v>
      </c>
      <c r="C756" s="384" t="s">
        <v>228</v>
      </c>
      <c r="D756" s="13">
        <f>57.78*1.05</f>
        <v>60.67</v>
      </c>
      <c r="E756" s="14">
        <f t="shared" si="70"/>
        <v>12.13</v>
      </c>
      <c r="F756" s="97">
        <f t="shared" si="71"/>
        <v>72.8</v>
      </c>
      <c r="G756" s="412"/>
      <c r="H756" s="2"/>
      <c r="I756" s="34"/>
      <c r="J756" s="2"/>
      <c r="K756" s="326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89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89"/>
      <c r="BJ756" s="305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</row>
    <row r="757" spans="1:113" s="15" customFormat="1" ht="33" customHeight="1" x14ac:dyDescent="0.2">
      <c r="A757" s="404" t="s">
        <v>2103</v>
      </c>
      <c r="B757" s="381" t="s">
        <v>2185</v>
      </c>
      <c r="C757" s="384" t="s">
        <v>228</v>
      </c>
      <c r="D757" s="13">
        <v>81.3</v>
      </c>
      <c r="E757" s="14">
        <f t="shared" si="70"/>
        <v>16.260000000000002</v>
      </c>
      <c r="F757" s="97">
        <f t="shared" si="71"/>
        <v>97.56</v>
      </c>
      <c r="G757" s="412"/>
      <c r="H757" s="2"/>
      <c r="I757" s="34"/>
      <c r="J757" s="2"/>
      <c r="K757" s="326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89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89"/>
      <c r="BJ757" s="305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</row>
    <row r="758" spans="1:113" s="41" customFormat="1" ht="27.75" customHeight="1" x14ac:dyDescent="0.2">
      <c r="A758" s="108" t="s">
        <v>37</v>
      </c>
      <c r="B758" s="429" t="s">
        <v>704</v>
      </c>
      <c r="C758" s="429"/>
      <c r="D758" s="429"/>
      <c r="E758" s="429"/>
      <c r="F758" s="429"/>
      <c r="G758" s="412"/>
      <c r="H758" s="2"/>
      <c r="I758" s="34"/>
      <c r="J758" s="2"/>
      <c r="K758" s="326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89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89"/>
      <c r="BJ758" s="305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</row>
    <row r="759" spans="1:113" s="41" customFormat="1" ht="45" customHeight="1" x14ac:dyDescent="0.2">
      <c r="A759" s="404" t="s">
        <v>679</v>
      </c>
      <c r="B759" s="381" t="s">
        <v>2186</v>
      </c>
      <c r="C759" s="384" t="s">
        <v>228</v>
      </c>
      <c r="D759" s="13">
        <v>167.4</v>
      </c>
      <c r="E759" s="14">
        <f>D759*20%</f>
        <v>33.479999999999997</v>
      </c>
      <c r="F759" s="97">
        <f>D759+E759</f>
        <v>200.88</v>
      </c>
      <c r="G759" s="412"/>
      <c r="H759" s="2"/>
      <c r="I759" s="34"/>
      <c r="J759" s="2"/>
      <c r="K759" s="326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89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89"/>
      <c r="BJ759" s="305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</row>
    <row r="760" spans="1:113" s="15" customFormat="1" ht="24.75" customHeight="1" x14ac:dyDescent="0.2">
      <c r="A760" s="380">
        <v>8</v>
      </c>
      <c r="B760" s="429" t="s">
        <v>710</v>
      </c>
      <c r="C760" s="429"/>
      <c r="D760" s="429"/>
      <c r="E760" s="429"/>
      <c r="F760" s="429"/>
      <c r="G760" s="412"/>
      <c r="H760" s="2"/>
      <c r="I760" s="34"/>
      <c r="J760" s="2"/>
      <c r="K760" s="326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89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89"/>
      <c r="BJ760" s="305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</row>
    <row r="761" spans="1:113" s="15" customFormat="1" ht="49.5" customHeight="1" x14ac:dyDescent="0.2">
      <c r="A761" s="404" t="s">
        <v>705</v>
      </c>
      <c r="B761" s="397" t="s">
        <v>564</v>
      </c>
      <c r="C761" s="384" t="s">
        <v>228</v>
      </c>
      <c r="D761" s="13">
        <f>76.15*1.05</f>
        <v>79.959999999999994</v>
      </c>
      <c r="E761" s="14">
        <f t="shared" ref="E761:E769" si="72">D761*20%</f>
        <v>15.99</v>
      </c>
      <c r="F761" s="97">
        <f t="shared" ref="F761" si="73">D761+E761</f>
        <v>95.95</v>
      </c>
      <c r="G761" s="412"/>
      <c r="H761" s="2"/>
      <c r="I761" s="34"/>
      <c r="J761" s="2"/>
      <c r="K761" s="326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89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89"/>
      <c r="BJ761" s="305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</row>
    <row r="762" spans="1:113" s="15" customFormat="1" ht="32.25" customHeight="1" x14ac:dyDescent="0.2">
      <c r="A762" s="404" t="s">
        <v>706</v>
      </c>
      <c r="B762" s="381" t="s">
        <v>713</v>
      </c>
      <c r="C762" s="384" t="s">
        <v>228</v>
      </c>
      <c r="D762" s="13">
        <f>12.7*1.05</f>
        <v>13.34</v>
      </c>
      <c r="E762" s="14">
        <f t="shared" si="72"/>
        <v>2.67</v>
      </c>
      <c r="F762" s="97">
        <f>D762+E762</f>
        <v>16.010000000000002</v>
      </c>
      <c r="G762" s="412"/>
      <c r="H762" s="2"/>
      <c r="I762" s="34"/>
      <c r="J762" s="2"/>
      <c r="K762" s="326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89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89"/>
      <c r="BJ762" s="305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</row>
    <row r="763" spans="1:113" s="15" customFormat="1" ht="20.25" customHeight="1" x14ac:dyDescent="0.2">
      <c r="A763" s="404" t="s">
        <v>708</v>
      </c>
      <c r="B763" s="381" t="s">
        <v>651</v>
      </c>
      <c r="C763" s="384" t="s">
        <v>228</v>
      </c>
      <c r="D763" s="13">
        <f>48.86*1.05</f>
        <v>51.3</v>
      </c>
      <c r="E763" s="14">
        <f t="shared" si="72"/>
        <v>10.26</v>
      </c>
      <c r="F763" s="97">
        <f t="shared" ref="F763:F768" si="74">D763+E763</f>
        <v>61.56</v>
      </c>
      <c r="G763" s="412"/>
      <c r="H763" s="2"/>
      <c r="I763" s="34"/>
      <c r="J763" s="2"/>
      <c r="K763" s="326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89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89"/>
      <c r="BJ763" s="305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</row>
    <row r="764" spans="1:113" s="15" customFormat="1" ht="18" customHeight="1" x14ac:dyDescent="0.2">
      <c r="A764" s="404" t="s">
        <v>2104</v>
      </c>
      <c r="B764" s="381" t="s">
        <v>716</v>
      </c>
      <c r="C764" s="384" t="s">
        <v>228</v>
      </c>
      <c r="D764" s="13">
        <f>28.83*1.05</f>
        <v>30.27</v>
      </c>
      <c r="E764" s="14">
        <f t="shared" si="72"/>
        <v>6.05</v>
      </c>
      <c r="F764" s="97">
        <f t="shared" si="74"/>
        <v>36.32</v>
      </c>
      <c r="G764" s="412"/>
      <c r="H764" s="2"/>
      <c r="I764" s="34"/>
      <c r="J764" s="2"/>
      <c r="K764" s="326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89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89"/>
      <c r="BJ764" s="305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</row>
    <row r="765" spans="1:113" s="15" customFormat="1" ht="18.75" customHeight="1" x14ac:dyDescent="0.2">
      <c r="A765" s="404" t="s">
        <v>2105</v>
      </c>
      <c r="B765" s="381" t="s">
        <v>718</v>
      </c>
      <c r="C765" s="384" t="s">
        <v>228</v>
      </c>
      <c r="D765" s="13">
        <f>84.15*1.05</f>
        <v>88.36</v>
      </c>
      <c r="E765" s="14">
        <f t="shared" si="72"/>
        <v>17.670000000000002</v>
      </c>
      <c r="F765" s="97">
        <f>D765+E765</f>
        <v>106.03</v>
      </c>
      <c r="G765" s="412"/>
      <c r="H765" s="2"/>
      <c r="I765" s="34"/>
      <c r="J765" s="2"/>
      <c r="K765" s="326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89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89"/>
      <c r="BJ765" s="305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</row>
    <row r="766" spans="1:113" s="15" customFormat="1" ht="28.5" customHeight="1" x14ac:dyDescent="0.2">
      <c r="A766" s="404" t="s">
        <v>2106</v>
      </c>
      <c r="B766" s="381" t="s">
        <v>720</v>
      </c>
      <c r="C766" s="384" t="s">
        <v>228</v>
      </c>
      <c r="D766" s="13">
        <f>44.94*1.05</f>
        <v>47.19</v>
      </c>
      <c r="E766" s="14">
        <f t="shared" si="72"/>
        <v>9.44</v>
      </c>
      <c r="F766" s="97">
        <f t="shared" si="74"/>
        <v>56.63</v>
      </c>
      <c r="G766" s="412"/>
      <c r="H766" s="2"/>
      <c r="I766" s="34"/>
      <c r="J766" s="2"/>
      <c r="K766" s="326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89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89"/>
      <c r="BJ766" s="305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</row>
    <row r="767" spans="1:113" s="15" customFormat="1" ht="19.5" customHeight="1" x14ac:dyDescent="0.2">
      <c r="A767" s="404" t="s">
        <v>2107</v>
      </c>
      <c r="B767" s="381" t="s">
        <v>722</v>
      </c>
      <c r="C767" s="384" t="s">
        <v>228</v>
      </c>
      <c r="D767" s="13">
        <f>61.14*1.05</f>
        <v>64.2</v>
      </c>
      <c r="E767" s="14">
        <f t="shared" si="72"/>
        <v>12.84</v>
      </c>
      <c r="F767" s="97">
        <f t="shared" si="74"/>
        <v>77.040000000000006</v>
      </c>
      <c r="G767" s="412"/>
      <c r="H767" s="2"/>
      <c r="I767" s="34"/>
      <c r="J767" s="2"/>
      <c r="K767" s="326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89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89"/>
      <c r="BJ767" s="305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</row>
    <row r="768" spans="1:113" s="15" customFormat="1" ht="15.75" customHeight="1" x14ac:dyDescent="0.2">
      <c r="A768" s="404" t="s">
        <v>2108</v>
      </c>
      <c r="B768" s="381" t="s">
        <v>724</v>
      </c>
      <c r="C768" s="384" t="s">
        <v>228</v>
      </c>
      <c r="D768" s="13">
        <f>178.64*1.05</f>
        <v>187.57</v>
      </c>
      <c r="E768" s="14">
        <f t="shared" si="72"/>
        <v>37.51</v>
      </c>
      <c r="F768" s="97">
        <f t="shared" si="74"/>
        <v>225.08</v>
      </c>
      <c r="G768" s="412"/>
      <c r="H768" s="2"/>
      <c r="I768" s="34"/>
      <c r="J768" s="2"/>
      <c r="K768" s="326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89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89"/>
      <c r="BJ768" s="305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</row>
    <row r="769" spans="1:113" s="15" customFormat="1" ht="46.5" customHeight="1" x14ac:dyDescent="0.2">
      <c r="A769" s="404" t="s">
        <v>2109</v>
      </c>
      <c r="B769" s="381" t="s">
        <v>726</v>
      </c>
      <c r="C769" s="384" t="s">
        <v>228</v>
      </c>
      <c r="D769" s="13">
        <f>106.71*1.05</f>
        <v>112.05</v>
      </c>
      <c r="E769" s="14">
        <f t="shared" si="72"/>
        <v>22.41</v>
      </c>
      <c r="F769" s="97">
        <f>D769+E769</f>
        <v>134.46</v>
      </c>
      <c r="G769" s="412"/>
      <c r="H769" s="2"/>
      <c r="I769" s="34"/>
      <c r="J769" s="2"/>
      <c r="K769" s="326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89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89"/>
      <c r="BJ769" s="305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</row>
    <row r="770" spans="1:113" s="15" customFormat="1" ht="21" customHeight="1" x14ac:dyDescent="0.2">
      <c r="A770" s="108" t="s">
        <v>41</v>
      </c>
      <c r="B770" s="429" t="s">
        <v>727</v>
      </c>
      <c r="C770" s="429"/>
      <c r="D770" s="429"/>
      <c r="E770" s="429"/>
      <c r="F770" s="429"/>
      <c r="G770" s="412"/>
      <c r="H770" s="2"/>
      <c r="I770" s="34"/>
      <c r="J770" s="2"/>
      <c r="K770" s="326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89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89"/>
      <c r="BJ770" s="305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</row>
    <row r="771" spans="1:113" s="15" customFormat="1" ht="51.75" customHeight="1" x14ac:dyDescent="0.2">
      <c r="A771" s="404" t="s">
        <v>711</v>
      </c>
      <c r="B771" s="397" t="s">
        <v>564</v>
      </c>
      <c r="C771" s="384" t="s">
        <v>228</v>
      </c>
      <c r="D771" s="13">
        <f>76.15*1.05</f>
        <v>79.959999999999994</v>
      </c>
      <c r="E771" s="14">
        <f t="shared" ref="E771:E784" si="75">D771*20%</f>
        <v>15.99</v>
      </c>
      <c r="F771" s="97">
        <f>D771+E771</f>
        <v>95.95</v>
      </c>
      <c r="G771" s="412"/>
      <c r="H771" s="2"/>
      <c r="I771" s="34"/>
      <c r="J771" s="2"/>
      <c r="K771" s="326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89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89"/>
      <c r="BJ771" s="305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</row>
    <row r="772" spans="1:113" s="15" customFormat="1" ht="19.5" customHeight="1" x14ac:dyDescent="0.2">
      <c r="A772" s="404" t="s">
        <v>712</v>
      </c>
      <c r="B772" s="381" t="s">
        <v>651</v>
      </c>
      <c r="C772" s="384" t="s">
        <v>228</v>
      </c>
      <c r="D772" s="13">
        <f>48.86*1.05</f>
        <v>51.3</v>
      </c>
      <c r="E772" s="14">
        <f t="shared" si="75"/>
        <v>10.26</v>
      </c>
      <c r="F772" s="97">
        <f t="shared" ref="F772:F781" si="76">D772+E772</f>
        <v>61.56</v>
      </c>
      <c r="G772" s="412"/>
      <c r="H772" s="2"/>
      <c r="I772" s="34"/>
      <c r="J772" s="2"/>
      <c r="K772" s="326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89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89"/>
      <c r="BJ772" s="305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</row>
    <row r="773" spans="1:113" s="15" customFormat="1" ht="21" customHeight="1" x14ac:dyDescent="0.2">
      <c r="A773" s="404" t="s">
        <v>714</v>
      </c>
      <c r="B773" s="381" t="s">
        <v>731</v>
      </c>
      <c r="C773" s="384" t="s">
        <v>228</v>
      </c>
      <c r="D773" s="13">
        <f>28.83*1.05</f>
        <v>30.27</v>
      </c>
      <c r="E773" s="14">
        <f t="shared" si="75"/>
        <v>6.05</v>
      </c>
      <c r="F773" s="97">
        <f t="shared" si="76"/>
        <v>36.32</v>
      </c>
      <c r="G773" s="412"/>
      <c r="H773" s="2"/>
      <c r="I773" s="34"/>
      <c r="J773" s="2"/>
      <c r="K773" s="326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89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89"/>
      <c r="BJ773" s="305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</row>
    <row r="774" spans="1:113" s="15" customFormat="1" ht="18" customHeight="1" x14ac:dyDescent="0.2">
      <c r="A774" s="404" t="s">
        <v>715</v>
      </c>
      <c r="B774" s="381" t="s">
        <v>733</v>
      </c>
      <c r="C774" s="384" t="s">
        <v>228</v>
      </c>
      <c r="D774" s="13">
        <f>39.53*1.05</f>
        <v>41.51</v>
      </c>
      <c r="E774" s="14">
        <f t="shared" si="75"/>
        <v>8.3000000000000007</v>
      </c>
      <c r="F774" s="97">
        <f t="shared" si="76"/>
        <v>49.81</v>
      </c>
      <c r="G774" s="412"/>
      <c r="H774" s="2"/>
      <c r="I774" s="34"/>
      <c r="J774" s="2"/>
      <c r="K774" s="326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89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89"/>
      <c r="BJ774" s="305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</row>
    <row r="775" spans="1:113" s="15" customFormat="1" ht="20.25" customHeight="1" x14ac:dyDescent="0.2">
      <c r="A775" s="404" t="s">
        <v>717</v>
      </c>
      <c r="B775" s="381" t="s">
        <v>735</v>
      </c>
      <c r="C775" s="384" t="s">
        <v>228</v>
      </c>
      <c r="D775" s="13">
        <f>61.14*1.05</f>
        <v>64.2</v>
      </c>
      <c r="E775" s="14">
        <f t="shared" si="75"/>
        <v>12.84</v>
      </c>
      <c r="F775" s="97">
        <f t="shared" si="76"/>
        <v>77.040000000000006</v>
      </c>
      <c r="G775" s="412"/>
      <c r="H775" s="2"/>
      <c r="I775" s="34"/>
      <c r="J775" s="2"/>
      <c r="K775" s="326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89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89"/>
      <c r="BJ775" s="305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</row>
    <row r="776" spans="1:113" s="15" customFormat="1" ht="27" customHeight="1" x14ac:dyDescent="0.2">
      <c r="A776" s="404" t="s">
        <v>719</v>
      </c>
      <c r="B776" s="381" t="s">
        <v>737</v>
      </c>
      <c r="C776" s="384" t="s">
        <v>228</v>
      </c>
      <c r="D776" s="13">
        <f>76.34*1.05</f>
        <v>80.16</v>
      </c>
      <c r="E776" s="14">
        <f t="shared" si="75"/>
        <v>16.03</v>
      </c>
      <c r="F776" s="97">
        <f t="shared" si="76"/>
        <v>96.19</v>
      </c>
      <c r="G776" s="412"/>
      <c r="H776" s="2"/>
      <c r="I776" s="34"/>
      <c r="J776" s="2"/>
      <c r="K776" s="326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89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89"/>
      <c r="BJ776" s="305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</row>
    <row r="777" spans="1:113" s="15" customFormat="1" ht="30" customHeight="1" x14ac:dyDescent="0.2">
      <c r="A777" s="404" t="s">
        <v>721</v>
      </c>
      <c r="B777" s="381" t="s">
        <v>739</v>
      </c>
      <c r="C777" s="384" t="s">
        <v>228</v>
      </c>
      <c r="D777" s="13">
        <f>15.36*1.05</f>
        <v>16.13</v>
      </c>
      <c r="E777" s="14">
        <f t="shared" si="75"/>
        <v>3.23</v>
      </c>
      <c r="F777" s="97">
        <f t="shared" si="76"/>
        <v>19.36</v>
      </c>
      <c r="G777" s="412"/>
      <c r="H777" s="2"/>
      <c r="I777" s="34"/>
      <c r="J777" s="2"/>
      <c r="K777" s="326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89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89"/>
      <c r="BJ777" s="305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</row>
    <row r="778" spans="1:113" s="15" customFormat="1" ht="27.75" customHeight="1" x14ac:dyDescent="0.2">
      <c r="A778" s="404" t="s">
        <v>723</v>
      </c>
      <c r="B778" s="381" t="s">
        <v>741</v>
      </c>
      <c r="C778" s="384" t="s">
        <v>228</v>
      </c>
      <c r="D778" s="13">
        <f>43.55*1.05</f>
        <v>45.73</v>
      </c>
      <c r="E778" s="14">
        <f t="shared" si="75"/>
        <v>9.15</v>
      </c>
      <c r="F778" s="97">
        <f t="shared" si="76"/>
        <v>54.88</v>
      </c>
      <c r="G778" s="412"/>
      <c r="H778" s="2"/>
      <c r="I778" s="34"/>
      <c r="J778" s="2"/>
      <c r="K778" s="326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89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89"/>
      <c r="BJ778" s="305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</row>
    <row r="779" spans="1:113" s="15" customFormat="1" ht="21" customHeight="1" x14ac:dyDescent="0.2">
      <c r="A779" s="404" t="s">
        <v>725</v>
      </c>
      <c r="B779" s="381" t="s">
        <v>743</v>
      </c>
      <c r="C779" s="384" t="s">
        <v>228</v>
      </c>
      <c r="D779" s="13">
        <f>59.66*1.05</f>
        <v>62.64</v>
      </c>
      <c r="E779" s="14">
        <f t="shared" si="75"/>
        <v>12.53</v>
      </c>
      <c r="F779" s="97">
        <f t="shared" si="76"/>
        <v>75.17</v>
      </c>
      <c r="G779" s="412"/>
      <c r="H779" s="2"/>
      <c r="I779" s="34"/>
      <c r="J779" s="2"/>
      <c r="K779" s="326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89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89"/>
      <c r="BJ779" s="305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</row>
    <row r="780" spans="1:113" s="15" customFormat="1" ht="24.75" customHeight="1" x14ac:dyDescent="0.2">
      <c r="A780" s="404" t="s">
        <v>2110</v>
      </c>
      <c r="B780" s="381" t="s">
        <v>745</v>
      </c>
      <c r="C780" s="384" t="s">
        <v>228</v>
      </c>
      <c r="D780" s="13">
        <f>19.71*1.05</f>
        <v>20.7</v>
      </c>
      <c r="E780" s="14">
        <f t="shared" si="75"/>
        <v>4.1399999999999997</v>
      </c>
      <c r="F780" s="97">
        <f t="shared" si="76"/>
        <v>24.84</v>
      </c>
      <c r="G780" s="412"/>
      <c r="H780" s="2"/>
      <c r="I780" s="34"/>
      <c r="J780" s="2"/>
      <c r="K780" s="326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89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89"/>
      <c r="BJ780" s="305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</row>
    <row r="781" spans="1:113" s="15" customFormat="1" ht="21.75" customHeight="1" x14ac:dyDescent="0.2">
      <c r="A781" s="404" t="s">
        <v>2111</v>
      </c>
      <c r="B781" s="381" t="s">
        <v>747</v>
      </c>
      <c r="C781" s="384" t="s">
        <v>228</v>
      </c>
      <c r="D781" s="13">
        <f>354.63*1.05</f>
        <v>372.36</v>
      </c>
      <c r="E781" s="14">
        <f t="shared" si="75"/>
        <v>74.47</v>
      </c>
      <c r="F781" s="97">
        <f t="shared" si="76"/>
        <v>446.83</v>
      </c>
      <c r="G781" s="412"/>
      <c r="H781" s="2"/>
      <c r="I781" s="34"/>
      <c r="J781" s="2"/>
      <c r="K781" s="326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89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89"/>
      <c r="BJ781" s="305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</row>
    <row r="782" spans="1:113" s="15" customFormat="1" ht="27" customHeight="1" x14ac:dyDescent="0.2">
      <c r="A782" s="404" t="s">
        <v>2112</v>
      </c>
      <c r="B782" s="381" t="s">
        <v>749</v>
      </c>
      <c r="C782" s="384" t="s">
        <v>228</v>
      </c>
      <c r="D782" s="13">
        <f>175.58*1.05</f>
        <v>184.36</v>
      </c>
      <c r="E782" s="14">
        <f t="shared" si="75"/>
        <v>36.869999999999997</v>
      </c>
      <c r="F782" s="97">
        <f>D782+E782</f>
        <v>221.23</v>
      </c>
      <c r="G782" s="412"/>
      <c r="H782" s="2"/>
      <c r="I782" s="34"/>
      <c r="J782" s="2"/>
      <c r="K782" s="326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89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89"/>
      <c r="BJ782" s="305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</row>
    <row r="783" spans="1:113" s="15" customFormat="1" ht="18.75" customHeight="1" x14ac:dyDescent="0.2">
      <c r="A783" s="404" t="s">
        <v>2113</v>
      </c>
      <c r="B783" s="381" t="s">
        <v>751</v>
      </c>
      <c r="C783" s="384" t="s">
        <v>228</v>
      </c>
      <c r="D783" s="13">
        <f>362.89*1.05</f>
        <v>381.03</v>
      </c>
      <c r="E783" s="14">
        <f t="shared" si="75"/>
        <v>76.209999999999994</v>
      </c>
      <c r="F783" s="97">
        <f>D783+E783</f>
        <v>457.24</v>
      </c>
      <c r="G783" s="412"/>
      <c r="H783" s="2"/>
      <c r="I783" s="34"/>
      <c r="J783" s="2"/>
      <c r="K783" s="326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89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89"/>
      <c r="BJ783" s="305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</row>
    <row r="784" spans="1:113" s="15" customFormat="1" ht="31.5" customHeight="1" x14ac:dyDescent="0.2">
      <c r="A784" s="404" t="s">
        <v>2114</v>
      </c>
      <c r="B784" s="98" t="s">
        <v>753</v>
      </c>
      <c r="C784" s="384" t="s">
        <v>228</v>
      </c>
      <c r="D784" s="13">
        <f>174.21*1.05</f>
        <v>182.92</v>
      </c>
      <c r="E784" s="14">
        <f t="shared" si="75"/>
        <v>36.58</v>
      </c>
      <c r="F784" s="97">
        <f>D784+E784</f>
        <v>219.5</v>
      </c>
      <c r="G784" s="412"/>
      <c r="H784" s="2"/>
      <c r="I784" s="34"/>
      <c r="J784" s="2"/>
      <c r="K784" s="326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89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89"/>
      <c r="BJ784" s="305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</row>
    <row r="785" spans="1:113" s="15" customFormat="1" ht="23.25" customHeight="1" x14ac:dyDescent="0.2">
      <c r="A785" s="108" t="s">
        <v>44</v>
      </c>
      <c r="B785" s="429" t="s">
        <v>754</v>
      </c>
      <c r="C785" s="429"/>
      <c r="D785" s="429"/>
      <c r="E785" s="429"/>
      <c r="F785" s="429"/>
      <c r="G785" s="412"/>
      <c r="H785" s="2"/>
      <c r="I785" s="34"/>
      <c r="J785" s="2"/>
      <c r="K785" s="326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89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89"/>
      <c r="BJ785" s="305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</row>
    <row r="786" spans="1:113" s="15" customFormat="1" ht="23.25" customHeight="1" x14ac:dyDescent="0.2">
      <c r="A786" s="404" t="s">
        <v>728</v>
      </c>
      <c r="B786" s="381" t="s">
        <v>756</v>
      </c>
      <c r="C786" s="384" t="s">
        <v>228</v>
      </c>
      <c r="D786" s="13">
        <f>49.68*1.05</f>
        <v>52.16</v>
      </c>
      <c r="E786" s="14">
        <f t="shared" ref="E786:E798" si="77">D786*20%</f>
        <v>10.43</v>
      </c>
      <c r="F786" s="97">
        <f t="shared" ref="F786:F795" si="78">D786+E786</f>
        <v>62.59</v>
      </c>
      <c r="G786" s="412"/>
      <c r="H786" s="2"/>
      <c r="I786" s="34"/>
      <c r="J786" s="2"/>
      <c r="K786" s="326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89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89"/>
      <c r="BJ786" s="305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</row>
    <row r="787" spans="1:113" s="15" customFormat="1" ht="21" customHeight="1" x14ac:dyDescent="0.2">
      <c r="A787" s="404" t="s">
        <v>729</v>
      </c>
      <c r="B787" s="381" t="s">
        <v>758</v>
      </c>
      <c r="C787" s="384" t="s">
        <v>228</v>
      </c>
      <c r="D787" s="13">
        <f>59.66*1.05</f>
        <v>62.64</v>
      </c>
      <c r="E787" s="14">
        <f t="shared" si="77"/>
        <v>12.53</v>
      </c>
      <c r="F787" s="97">
        <f t="shared" si="78"/>
        <v>75.17</v>
      </c>
      <c r="G787" s="412"/>
      <c r="H787" s="2"/>
      <c r="I787" s="34"/>
      <c r="J787" s="2"/>
      <c r="K787" s="326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89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89"/>
      <c r="BJ787" s="305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</row>
    <row r="788" spans="1:113" s="15" customFormat="1" ht="30" customHeight="1" x14ac:dyDescent="0.2">
      <c r="A788" s="404" t="s">
        <v>730</v>
      </c>
      <c r="B788" s="381" t="s">
        <v>760</v>
      </c>
      <c r="C788" s="384" t="s">
        <v>228</v>
      </c>
      <c r="D788" s="13">
        <f>85.2*1.05</f>
        <v>89.46</v>
      </c>
      <c r="E788" s="14">
        <f t="shared" si="77"/>
        <v>17.89</v>
      </c>
      <c r="F788" s="97">
        <f t="shared" si="78"/>
        <v>107.35</v>
      </c>
      <c r="G788" s="412"/>
      <c r="H788" s="2"/>
      <c r="I788" s="34"/>
      <c r="J788" s="2"/>
      <c r="K788" s="326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89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89"/>
      <c r="BJ788" s="305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</row>
    <row r="789" spans="1:113" s="15" customFormat="1" ht="21" customHeight="1" x14ac:dyDescent="0.2">
      <c r="A789" s="404" t="s">
        <v>732</v>
      </c>
      <c r="B789" s="381" t="s">
        <v>762</v>
      </c>
      <c r="C789" s="384" t="s">
        <v>228</v>
      </c>
      <c r="D789" s="13">
        <f>109.84*1.05</f>
        <v>115.33</v>
      </c>
      <c r="E789" s="14">
        <f t="shared" si="77"/>
        <v>23.07</v>
      </c>
      <c r="F789" s="97">
        <f t="shared" si="78"/>
        <v>138.4</v>
      </c>
      <c r="G789" s="412"/>
      <c r="H789" s="2"/>
      <c r="I789" s="34"/>
      <c r="J789" s="2"/>
      <c r="K789" s="326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89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89"/>
      <c r="BJ789" s="305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</row>
    <row r="790" spans="1:113" s="15" customFormat="1" ht="34.5" customHeight="1" x14ac:dyDescent="0.2">
      <c r="A790" s="404" t="s">
        <v>734</v>
      </c>
      <c r="B790" s="381" t="s">
        <v>2102</v>
      </c>
      <c r="C790" s="384" t="s">
        <v>228</v>
      </c>
      <c r="D790" s="13">
        <f>81.47*1.05</f>
        <v>85.54</v>
      </c>
      <c r="E790" s="14">
        <f t="shared" si="77"/>
        <v>17.11</v>
      </c>
      <c r="F790" s="97">
        <f t="shared" si="78"/>
        <v>102.65</v>
      </c>
      <c r="G790" s="412"/>
      <c r="H790" s="2"/>
      <c r="I790" s="34"/>
      <c r="J790" s="2"/>
      <c r="K790" s="326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89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89"/>
      <c r="BJ790" s="305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</row>
    <row r="791" spans="1:113" s="15" customFormat="1" ht="19.5" customHeight="1" x14ac:dyDescent="0.2">
      <c r="A791" s="404" t="s">
        <v>736</v>
      </c>
      <c r="B791" s="381" t="s">
        <v>683</v>
      </c>
      <c r="C791" s="384" t="s">
        <v>228</v>
      </c>
      <c r="D791" s="13">
        <f>28.83*1.05</f>
        <v>30.27</v>
      </c>
      <c r="E791" s="14">
        <f t="shared" si="77"/>
        <v>6.05</v>
      </c>
      <c r="F791" s="97">
        <f t="shared" si="78"/>
        <v>36.32</v>
      </c>
      <c r="G791" s="412"/>
      <c r="H791" s="2"/>
      <c r="I791" s="34"/>
      <c r="J791" s="2"/>
      <c r="K791" s="326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89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89"/>
      <c r="BJ791" s="305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</row>
    <row r="792" spans="1:113" s="15" customFormat="1" ht="24" customHeight="1" x14ac:dyDescent="0.2">
      <c r="A792" s="404" t="s">
        <v>738</v>
      </c>
      <c r="B792" s="381" t="s">
        <v>767</v>
      </c>
      <c r="C792" s="384" t="s">
        <v>228</v>
      </c>
      <c r="D792" s="13">
        <f>59.28*1.05</f>
        <v>62.24</v>
      </c>
      <c r="E792" s="14">
        <f t="shared" si="77"/>
        <v>12.45</v>
      </c>
      <c r="F792" s="97">
        <f t="shared" si="78"/>
        <v>74.69</v>
      </c>
      <c r="G792" s="412"/>
      <c r="H792" s="2"/>
      <c r="I792" s="34"/>
      <c r="J792" s="2"/>
      <c r="K792" s="326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89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89"/>
      <c r="BJ792" s="305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</row>
    <row r="793" spans="1:113" s="15" customFormat="1" ht="26.25" customHeight="1" x14ac:dyDescent="0.2">
      <c r="A793" s="404" t="s">
        <v>740</v>
      </c>
      <c r="B793" s="381" t="s">
        <v>769</v>
      </c>
      <c r="C793" s="384" t="s">
        <v>228</v>
      </c>
      <c r="D793" s="13">
        <f>121.13*1.05</f>
        <v>127.19</v>
      </c>
      <c r="E793" s="14">
        <f t="shared" si="77"/>
        <v>25.44</v>
      </c>
      <c r="F793" s="97">
        <f t="shared" si="78"/>
        <v>152.63</v>
      </c>
      <c r="G793" s="412"/>
      <c r="H793" s="2"/>
      <c r="I793" s="34"/>
      <c r="J793" s="2"/>
      <c r="K793" s="326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89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89"/>
      <c r="BJ793" s="305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</row>
    <row r="794" spans="1:113" s="15" customFormat="1" ht="26.25" customHeight="1" x14ac:dyDescent="0.2">
      <c r="A794" s="404" t="s">
        <v>742</v>
      </c>
      <c r="B794" s="381" t="s">
        <v>651</v>
      </c>
      <c r="C794" s="384" t="s">
        <v>228</v>
      </c>
      <c r="D794" s="13">
        <f>48.86*1.05</f>
        <v>51.3</v>
      </c>
      <c r="E794" s="14">
        <f t="shared" si="77"/>
        <v>10.26</v>
      </c>
      <c r="F794" s="97">
        <f t="shared" si="78"/>
        <v>61.56</v>
      </c>
      <c r="G794" s="412"/>
      <c r="H794" s="2"/>
      <c r="I794" s="34"/>
      <c r="J794" s="2"/>
      <c r="K794" s="326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89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89"/>
      <c r="BJ794" s="305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</row>
    <row r="795" spans="1:113" s="15" customFormat="1" ht="20.25" customHeight="1" x14ac:dyDescent="0.2">
      <c r="A795" s="404" t="s">
        <v>744</v>
      </c>
      <c r="B795" s="381" t="s">
        <v>772</v>
      </c>
      <c r="C795" s="384" t="s">
        <v>228</v>
      </c>
      <c r="D795" s="13">
        <f>288.93*1.05</f>
        <v>303.38</v>
      </c>
      <c r="E795" s="14">
        <f t="shared" si="77"/>
        <v>60.68</v>
      </c>
      <c r="F795" s="97">
        <f t="shared" si="78"/>
        <v>364.06</v>
      </c>
      <c r="G795" s="412"/>
      <c r="H795" s="2"/>
      <c r="I795" s="34"/>
      <c r="J795" s="2"/>
      <c r="K795" s="326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89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89"/>
      <c r="BJ795" s="305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</row>
    <row r="796" spans="1:113" s="15" customFormat="1" ht="21" customHeight="1" x14ac:dyDescent="0.2">
      <c r="A796" s="404" t="s">
        <v>746</v>
      </c>
      <c r="B796" s="381" t="s">
        <v>774</v>
      </c>
      <c r="C796" s="384" t="s">
        <v>228</v>
      </c>
      <c r="D796" s="13">
        <f>120.74*1.05</f>
        <v>126.78</v>
      </c>
      <c r="E796" s="14">
        <f t="shared" si="77"/>
        <v>25.36</v>
      </c>
      <c r="F796" s="97">
        <f>D796+E796</f>
        <v>152.13999999999999</v>
      </c>
      <c r="G796" s="412"/>
      <c r="H796" s="2"/>
      <c r="I796" s="34"/>
      <c r="J796" s="2"/>
      <c r="K796" s="326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89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89"/>
      <c r="BJ796" s="305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</row>
    <row r="797" spans="1:113" s="15" customFormat="1" ht="18.75" customHeight="1" x14ac:dyDescent="0.2">
      <c r="A797" s="404" t="s">
        <v>748</v>
      </c>
      <c r="B797" s="381" t="s">
        <v>776</v>
      </c>
      <c r="C797" s="384" t="s">
        <v>228</v>
      </c>
      <c r="D797" s="13">
        <f>128.02*1.05</f>
        <v>134.41999999999999</v>
      </c>
      <c r="E797" s="14">
        <f t="shared" si="77"/>
        <v>26.88</v>
      </c>
      <c r="F797" s="97">
        <f>D797+E797</f>
        <v>161.30000000000001</v>
      </c>
      <c r="G797" s="412"/>
      <c r="H797" s="2"/>
      <c r="I797" s="34"/>
      <c r="J797" s="2"/>
      <c r="K797" s="326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89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89"/>
      <c r="BJ797" s="305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</row>
    <row r="798" spans="1:113" s="15" customFormat="1" ht="24.75" customHeight="1" x14ac:dyDescent="0.2">
      <c r="A798" s="404" t="s">
        <v>750</v>
      </c>
      <c r="B798" s="381" t="s">
        <v>778</v>
      </c>
      <c r="C798" s="384" t="s">
        <v>228</v>
      </c>
      <c r="D798" s="13">
        <f>38.4*1.05</f>
        <v>40.32</v>
      </c>
      <c r="E798" s="14">
        <f t="shared" si="77"/>
        <v>8.06</v>
      </c>
      <c r="F798" s="97">
        <f>D798+E798</f>
        <v>48.38</v>
      </c>
      <c r="G798" s="412"/>
      <c r="H798" s="2"/>
      <c r="I798" s="34"/>
      <c r="J798" s="2"/>
      <c r="K798" s="326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89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89"/>
      <c r="BJ798" s="305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</row>
    <row r="799" spans="1:113" s="15" customFormat="1" ht="21.75" customHeight="1" x14ac:dyDescent="0.2">
      <c r="A799" s="108" t="s">
        <v>46</v>
      </c>
      <c r="B799" s="429" t="s">
        <v>779</v>
      </c>
      <c r="C799" s="429"/>
      <c r="D799" s="429"/>
      <c r="E799" s="429"/>
      <c r="F799" s="429"/>
      <c r="G799" s="412"/>
      <c r="H799" s="2"/>
      <c r="I799" s="34"/>
      <c r="J799" s="2"/>
      <c r="K799" s="326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89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89"/>
      <c r="BJ799" s="305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</row>
    <row r="800" spans="1:113" s="15" customFormat="1" ht="76.5" customHeight="1" x14ac:dyDescent="0.2">
      <c r="A800" s="404" t="s">
        <v>755</v>
      </c>
      <c r="B800" s="98" t="s">
        <v>781</v>
      </c>
      <c r="C800" s="384" t="s">
        <v>228</v>
      </c>
      <c r="D800" s="13">
        <f>755.23*1.05</f>
        <v>792.99</v>
      </c>
      <c r="E800" s="14">
        <f t="shared" ref="E800:E827" si="79">D800*20%</f>
        <v>158.6</v>
      </c>
      <c r="F800" s="97">
        <f t="shared" ref="F800:F825" si="80">D800+E800</f>
        <v>951.59</v>
      </c>
      <c r="G800" s="412"/>
      <c r="H800" s="2"/>
      <c r="I800" s="34"/>
      <c r="J800" s="2"/>
      <c r="K800" s="326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89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89"/>
      <c r="BJ800" s="305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</row>
    <row r="801" spans="1:113" s="15" customFormat="1" ht="46.5" customHeight="1" x14ac:dyDescent="0.2">
      <c r="A801" s="404" t="s">
        <v>757</v>
      </c>
      <c r="B801" s="381" t="s">
        <v>783</v>
      </c>
      <c r="C801" s="384" t="s">
        <v>228</v>
      </c>
      <c r="D801" s="13">
        <f>608.89*1.05</f>
        <v>639.33000000000004</v>
      </c>
      <c r="E801" s="14">
        <f t="shared" si="79"/>
        <v>127.87</v>
      </c>
      <c r="F801" s="97">
        <f t="shared" si="80"/>
        <v>767.2</v>
      </c>
      <c r="G801" s="412"/>
      <c r="H801" s="2"/>
      <c r="I801" s="34"/>
      <c r="J801" s="2"/>
      <c r="K801" s="326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89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89"/>
      <c r="BJ801" s="305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</row>
    <row r="802" spans="1:113" s="15" customFormat="1" ht="37.5" customHeight="1" x14ac:dyDescent="0.2">
      <c r="A802" s="404" t="s">
        <v>759</v>
      </c>
      <c r="B802" s="381" t="s">
        <v>785</v>
      </c>
      <c r="C802" s="384" t="s">
        <v>228</v>
      </c>
      <c r="D802" s="13">
        <f>391*1.05</f>
        <v>410.55</v>
      </c>
      <c r="E802" s="14">
        <f t="shared" si="79"/>
        <v>82.11</v>
      </c>
      <c r="F802" s="97">
        <f t="shared" si="80"/>
        <v>492.66</v>
      </c>
      <c r="G802" s="412"/>
      <c r="H802" s="2"/>
      <c r="I802" s="34"/>
      <c r="J802" s="2"/>
      <c r="K802" s="326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89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89"/>
      <c r="BJ802" s="305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</row>
    <row r="803" spans="1:113" s="15" customFormat="1" ht="33" customHeight="1" x14ac:dyDescent="0.2">
      <c r="A803" s="404" t="s">
        <v>761</v>
      </c>
      <c r="B803" s="381" t="s">
        <v>787</v>
      </c>
      <c r="C803" s="384" t="s">
        <v>228</v>
      </c>
      <c r="D803" s="13">
        <f>342*1.05</f>
        <v>359.1</v>
      </c>
      <c r="E803" s="14">
        <f t="shared" si="79"/>
        <v>71.819999999999993</v>
      </c>
      <c r="F803" s="97">
        <f t="shared" si="80"/>
        <v>430.92</v>
      </c>
      <c r="G803" s="412"/>
      <c r="H803" s="2"/>
      <c r="I803" s="34"/>
      <c r="J803" s="2"/>
      <c r="K803" s="326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89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89"/>
      <c r="BJ803" s="305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</row>
    <row r="804" spans="1:113" s="15" customFormat="1" ht="35.25" customHeight="1" x14ac:dyDescent="0.2">
      <c r="A804" s="404" t="s">
        <v>763</v>
      </c>
      <c r="B804" s="381" t="s">
        <v>789</v>
      </c>
      <c r="C804" s="384" t="s">
        <v>228</v>
      </c>
      <c r="D804" s="13">
        <f>593.17*1.05</f>
        <v>622.83000000000004</v>
      </c>
      <c r="E804" s="14">
        <f t="shared" si="79"/>
        <v>124.57</v>
      </c>
      <c r="F804" s="97">
        <f t="shared" si="80"/>
        <v>747.4</v>
      </c>
      <c r="G804" s="412"/>
      <c r="H804" s="2"/>
      <c r="I804" s="34"/>
      <c r="J804" s="2"/>
      <c r="K804" s="326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89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89"/>
      <c r="BJ804" s="305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</row>
    <row r="805" spans="1:113" s="15" customFormat="1" ht="32.25" customHeight="1" x14ac:dyDescent="0.2">
      <c r="A805" s="404" t="s">
        <v>765</v>
      </c>
      <c r="B805" s="381" t="s">
        <v>305</v>
      </c>
      <c r="C805" s="384" t="s">
        <v>228</v>
      </c>
      <c r="D805" s="13">
        <f>407.77*1.05</f>
        <v>428.16</v>
      </c>
      <c r="E805" s="14">
        <f t="shared" si="79"/>
        <v>85.63</v>
      </c>
      <c r="F805" s="97">
        <f t="shared" si="80"/>
        <v>513.79</v>
      </c>
      <c r="G805" s="412"/>
      <c r="H805" s="2"/>
      <c r="I805" s="34"/>
      <c r="J805" s="2"/>
      <c r="K805" s="326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89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89"/>
      <c r="BJ805" s="305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</row>
    <row r="806" spans="1:113" s="15" customFormat="1" ht="46.5" customHeight="1" x14ac:dyDescent="0.2">
      <c r="A806" s="404" t="s">
        <v>766</v>
      </c>
      <c r="B806" s="408" t="s">
        <v>792</v>
      </c>
      <c r="C806" s="384" t="s">
        <v>228</v>
      </c>
      <c r="D806" s="13">
        <f>299.85*1.05</f>
        <v>314.83999999999997</v>
      </c>
      <c r="E806" s="14">
        <f t="shared" si="79"/>
        <v>62.97</v>
      </c>
      <c r="F806" s="97">
        <f t="shared" si="80"/>
        <v>377.81</v>
      </c>
      <c r="G806" s="412"/>
      <c r="H806" s="2"/>
      <c r="I806" s="34"/>
      <c r="J806" s="2"/>
      <c r="K806" s="326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89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89"/>
      <c r="BJ806" s="305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</row>
    <row r="807" spans="1:113" s="15" customFormat="1" ht="32.25" customHeight="1" x14ac:dyDescent="0.2">
      <c r="A807" s="404" t="s">
        <v>768</v>
      </c>
      <c r="B807" s="408" t="s">
        <v>794</v>
      </c>
      <c r="C807" s="384" t="s">
        <v>228</v>
      </c>
      <c r="D807" s="13">
        <f>59.11*1.05</f>
        <v>62.07</v>
      </c>
      <c r="E807" s="14">
        <f t="shared" si="79"/>
        <v>12.41</v>
      </c>
      <c r="F807" s="97">
        <f t="shared" si="80"/>
        <v>74.48</v>
      </c>
      <c r="G807" s="412"/>
      <c r="H807" s="2"/>
      <c r="I807" s="34"/>
      <c r="J807" s="2"/>
      <c r="K807" s="326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89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89"/>
      <c r="BJ807" s="305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</row>
    <row r="808" spans="1:113" s="15" customFormat="1" ht="20.25" customHeight="1" x14ac:dyDescent="0.2">
      <c r="A808" s="404" t="s">
        <v>770</v>
      </c>
      <c r="B808" s="408" t="s">
        <v>796</v>
      </c>
      <c r="C808" s="384" t="s">
        <v>228</v>
      </c>
      <c r="D808" s="13">
        <f>37.4*1.05</f>
        <v>39.270000000000003</v>
      </c>
      <c r="E808" s="14">
        <f t="shared" si="79"/>
        <v>7.85</v>
      </c>
      <c r="F808" s="97">
        <f t="shared" si="80"/>
        <v>47.12</v>
      </c>
      <c r="G808" s="412"/>
      <c r="H808" s="2"/>
      <c r="I808" s="34"/>
      <c r="J808" s="2"/>
      <c r="K808" s="326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89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89"/>
      <c r="BJ808" s="305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</row>
    <row r="809" spans="1:113" s="15" customFormat="1" ht="20.25" customHeight="1" x14ac:dyDescent="0.2">
      <c r="A809" s="404" t="s">
        <v>771</v>
      </c>
      <c r="B809" s="408" t="s">
        <v>798</v>
      </c>
      <c r="C809" s="384" t="s">
        <v>228</v>
      </c>
      <c r="D809" s="13">
        <f>104.6*1.05</f>
        <v>109.83</v>
      </c>
      <c r="E809" s="14">
        <f t="shared" si="79"/>
        <v>21.97</v>
      </c>
      <c r="F809" s="97">
        <f t="shared" si="80"/>
        <v>131.80000000000001</v>
      </c>
      <c r="G809" s="412"/>
      <c r="H809" s="2"/>
      <c r="I809" s="34"/>
      <c r="J809" s="2"/>
      <c r="K809" s="326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89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89"/>
      <c r="BJ809" s="305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</row>
    <row r="810" spans="1:113" s="15" customFormat="1" ht="23.25" customHeight="1" x14ac:dyDescent="0.2">
      <c r="A810" s="404" t="s">
        <v>773</v>
      </c>
      <c r="B810" s="408" t="s">
        <v>800</v>
      </c>
      <c r="C810" s="384" t="s">
        <v>228</v>
      </c>
      <c r="D810" s="13">
        <f>60.2*1.05</f>
        <v>63.21</v>
      </c>
      <c r="E810" s="14">
        <f t="shared" si="79"/>
        <v>12.64</v>
      </c>
      <c r="F810" s="97">
        <f t="shared" si="80"/>
        <v>75.849999999999994</v>
      </c>
      <c r="G810" s="412"/>
      <c r="H810" s="2"/>
      <c r="I810" s="34"/>
      <c r="J810" s="2"/>
      <c r="K810" s="326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89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89"/>
      <c r="BJ810" s="305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</row>
    <row r="811" spans="1:113" s="15" customFormat="1" ht="17.25" customHeight="1" x14ac:dyDescent="0.2">
      <c r="A811" s="404" t="s">
        <v>775</v>
      </c>
      <c r="B811" s="408" t="s">
        <v>743</v>
      </c>
      <c r="C811" s="384" t="s">
        <v>228</v>
      </c>
      <c r="D811" s="13">
        <f>43.8*1.05</f>
        <v>45.99</v>
      </c>
      <c r="E811" s="14">
        <f t="shared" si="79"/>
        <v>9.1999999999999993</v>
      </c>
      <c r="F811" s="97">
        <f t="shared" si="80"/>
        <v>55.19</v>
      </c>
      <c r="G811" s="412"/>
      <c r="H811" s="2"/>
      <c r="I811" s="34"/>
      <c r="J811" s="2"/>
      <c r="K811" s="326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89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89"/>
      <c r="BJ811" s="305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</row>
    <row r="812" spans="1:113" s="15" customFormat="1" ht="21" customHeight="1" x14ac:dyDescent="0.2">
      <c r="A812" s="404" t="s">
        <v>777</v>
      </c>
      <c r="B812" s="408" t="s">
        <v>803</v>
      </c>
      <c r="C812" s="384" t="s">
        <v>228</v>
      </c>
      <c r="D812" s="13">
        <f>106*1.05</f>
        <v>111.3</v>
      </c>
      <c r="E812" s="14">
        <f t="shared" si="79"/>
        <v>22.26</v>
      </c>
      <c r="F812" s="97">
        <f t="shared" si="80"/>
        <v>133.56</v>
      </c>
      <c r="G812" s="412"/>
      <c r="H812" s="2"/>
      <c r="I812" s="34"/>
      <c r="J812" s="2"/>
      <c r="K812" s="326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89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89"/>
      <c r="BJ812" s="305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</row>
    <row r="813" spans="1:113" s="15" customFormat="1" ht="20.25" customHeight="1" x14ac:dyDescent="0.2">
      <c r="A813" s="404" t="s">
        <v>2115</v>
      </c>
      <c r="B813" s="408" t="s">
        <v>805</v>
      </c>
      <c r="C813" s="384" t="s">
        <v>228</v>
      </c>
      <c r="D813" s="13">
        <f>123*1.05</f>
        <v>129.15</v>
      </c>
      <c r="E813" s="14">
        <f t="shared" si="79"/>
        <v>25.83</v>
      </c>
      <c r="F813" s="97">
        <f t="shared" si="80"/>
        <v>154.97999999999999</v>
      </c>
      <c r="G813" s="412"/>
      <c r="H813" s="2"/>
      <c r="I813" s="34"/>
      <c r="J813" s="2"/>
      <c r="K813" s="326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89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89"/>
      <c r="BJ813" s="305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</row>
    <row r="814" spans="1:113" s="15" customFormat="1" ht="18.75" customHeight="1" x14ac:dyDescent="0.2">
      <c r="A814" s="404" t="s">
        <v>2116</v>
      </c>
      <c r="B814" s="408" t="s">
        <v>807</v>
      </c>
      <c r="C814" s="384" t="s">
        <v>228</v>
      </c>
      <c r="D814" s="13">
        <f>78.3*1.05</f>
        <v>82.22</v>
      </c>
      <c r="E814" s="14">
        <f t="shared" si="79"/>
        <v>16.440000000000001</v>
      </c>
      <c r="F814" s="97">
        <f t="shared" si="80"/>
        <v>98.66</v>
      </c>
      <c r="G814" s="412"/>
      <c r="H814" s="2"/>
      <c r="I814" s="34"/>
      <c r="J814" s="2"/>
      <c r="K814" s="326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89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89"/>
      <c r="BJ814" s="305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</row>
    <row r="815" spans="1:113" s="15" customFormat="1" ht="33.75" customHeight="1" x14ac:dyDescent="0.2">
      <c r="A815" s="404" t="s">
        <v>2117</v>
      </c>
      <c r="B815" s="408" t="s">
        <v>809</v>
      </c>
      <c r="C815" s="384" t="s">
        <v>228</v>
      </c>
      <c r="D815" s="13">
        <f>83.4*1.05</f>
        <v>87.57</v>
      </c>
      <c r="E815" s="14">
        <f t="shared" si="79"/>
        <v>17.510000000000002</v>
      </c>
      <c r="F815" s="97">
        <f t="shared" si="80"/>
        <v>105.08</v>
      </c>
      <c r="G815" s="412"/>
      <c r="H815" s="2"/>
      <c r="I815" s="34"/>
      <c r="J815" s="2"/>
      <c r="K815" s="326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89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89"/>
      <c r="BJ815" s="305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</row>
    <row r="816" spans="1:113" s="15" customFormat="1" ht="19.5" customHeight="1" x14ac:dyDescent="0.2">
      <c r="A816" s="404" t="s">
        <v>2118</v>
      </c>
      <c r="B816" s="408" t="s">
        <v>811</v>
      </c>
      <c r="C816" s="384" t="s">
        <v>228</v>
      </c>
      <c r="D816" s="13">
        <f>56.2*1.05</f>
        <v>59.01</v>
      </c>
      <c r="E816" s="14">
        <f t="shared" si="79"/>
        <v>11.8</v>
      </c>
      <c r="F816" s="97">
        <f t="shared" si="80"/>
        <v>70.81</v>
      </c>
      <c r="G816" s="412"/>
      <c r="H816" s="2"/>
      <c r="I816" s="34"/>
      <c r="J816" s="2"/>
      <c r="K816" s="326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89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89"/>
      <c r="BJ816" s="305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</row>
    <row r="817" spans="1:113" s="15" customFormat="1" ht="15.75" customHeight="1" x14ac:dyDescent="0.2">
      <c r="A817" s="404" t="s">
        <v>2119</v>
      </c>
      <c r="B817" s="408" t="s">
        <v>813</v>
      </c>
      <c r="C817" s="384" t="s">
        <v>228</v>
      </c>
      <c r="D817" s="13">
        <f>63.6*1.05</f>
        <v>66.78</v>
      </c>
      <c r="E817" s="14">
        <f t="shared" si="79"/>
        <v>13.36</v>
      </c>
      <c r="F817" s="97">
        <f t="shared" si="80"/>
        <v>80.14</v>
      </c>
      <c r="G817" s="412"/>
      <c r="H817" s="2"/>
      <c r="I817" s="34"/>
      <c r="J817" s="2"/>
      <c r="K817" s="326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89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89"/>
      <c r="BJ817" s="305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</row>
    <row r="818" spans="1:113" s="15" customFormat="1" ht="18.75" customHeight="1" x14ac:dyDescent="0.2">
      <c r="A818" s="404" t="s">
        <v>2120</v>
      </c>
      <c r="B818" s="408" t="s">
        <v>815</v>
      </c>
      <c r="C818" s="384" t="s">
        <v>228</v>
      </c>
      <c r="D818" s="13">
        <f>44.9*1.05</f>
        <v>47.15</v>
      </c>
      <c r="E818" s="14">
        <f t="shared" si="79"/>
        <v>9.43</v>
      </c>
      <c r="F818" s="97">
        <f t="shared" si="80"/>
        <v>56.58</v>
      </c>
      <c r="G818" s="412"/>
      <c r="H818" s="2"/>
      <c r="I818" s="34"/>
      <c r="J818" s="2"/>
      <c r="K818" s="326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89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89"/>
      <c r="BJ818" s="305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</row>
    <row r="819" spans="1:113" s="15" customFormat="1" ht="16.5" customHeight="1" x14ac:dyDescent="0.2">
      <c r="A819" s="404" t="s">
        <v>2121</v>
      </c>
      <c r="B819" s="408" t="s">
        <v>817</v>
      </c>
      <c r="C819" s="384" t="s">
        <v>228</v>
      </c>
      <c r="D819" s="13">
        <f>56.3*1.05</f>
        <v>59.12</v>
      </c>
      <c r="E819" s="14">
        <f t="shared" si="79"/>
        <v>11.82</v>
      </c>
      <c r="F819" s="97">
        <f t="shared" si="80"/>
        <v>70.94</v>
      </c>
      <c r="G819" s="412"/>
      <c r="H819" s="2"/>
      <c r="I819" s="34"/>
      <c r="J819" s="2"/>
      <c r="K819" s="326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89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89"/>
      <c r="BJ819" s="305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</row>
    <row r="820" spans="1:113" s="15" customFormat="1" ht="21" customHeight="1" x14ac:dyDescent="0.2">
      <c r="A820" s="404" t="s">
        <v>2122</v>
      </c>
      <c r="B820" s="408" t="s">
        <v>819</v>
      </c>
      <c r="C820" s="384" t="s">
        <v>228</v>
      </c>
      <c r="D820" s="379">
        <f>904.28*1.05</f>
        <v>949.49400000000003</v>
      </c>
      <c r="E820" s="14">
        <f t="shared" si="79"/>
        <v>189.9</v>
      </c>
      <c r="F820" s="97">
        <f t="shared" si="80"/>
        <v>1139.3900000000001</v>
      </c>
      <c r="G820" s="412"/>
      <c r="H820" s="2"/>
      <c r="I820" s="34"/>
      <c r="J820" s="2"/>
      <c r="K820" s="326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89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89"/>
      <c r="BJ820" s="305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</row>
    <row r="821" spans="1:113" s="15" customFormat="1" ht="26.25" customHeight="1" x14ac:dyDescent="0.2">
      <c r="A821" s="404" t="s">
        <v>2123</v>
      </c>
      <c r="B821" s="408" t="s">
        <v>821</v>
      </c>
      <c r="C821" s="384" t="s">
        <v>228</v>
      </c>
      <c r="D821" s="13">
        <f>94.5*1.05</f>
        <v>99.23</v>
      </c>
      <c r="E821" s="14">
        <f t="shared" si="79"/>
        <v>19.850000000000001</v>
      </c>
      <c r="F821" s="97">
        <f t="shared" si="80"/>
        <v>119.08</v>
      </c>
      <c r="G821" s="412"/>
      <c r="H821" s="2"/>
      <c r="I821" s="34"/>
      <c r="J821" s="2"/>
      <c r="K821" s="326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89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89"/>
      <c r="BJ821" s="305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</row>
    <row r="822" spans="1:113" s="15" customFormat="1" ht="28.5" customHeight="1" x14ac:dyDescent="0.2">
      <c r="A822" s="404" t="s">
        <v>2124</v>
      </c>
      <c r="B822" s="408" t="s">
        <v>823</v>
      </c>
      <c r="C822" s="384" t="s">
        <v>228</v>
      </c>
      <c r="D822" s="13">
        <f>59.2*1.05</f>
        <v>62.16</v>
      </c>
      <c r="E822" s="14">
        <f t="shared" si="79"/>
        <v>12.43</v>
      </c>
      <c r="F822" s="97">
        <f t="shared" si="80"/>
        <v>74.59</v>
      </c>
      <c r="G822" s="412"/>
      <c r="H822" s="2"/>
      <c r="I822" s="34"/>
      <c r="J822" s="2"/>
      <c r="K822" s="326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89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89"/>
      <c r="BJ822" s="305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</row>
    <row r="823" spans="1:113" s="15" customFormat="1" ht="21" customHeight="1" x14ac:dyDescent="0.2">
      <c r="A823" s="404" t="s">
        <v>2125</v>
      </c>
      <c r="B823" s="408" t="s">
        <v>825</v>
      </c>
      <c r="C823" s="384" t="s">
        <v>228</v>
      </c>
      <c r="D823" s="13">
        <f>31.5*1.05</f>
        <v>33.08</v>
      </c>
      <c r="E823" s="14">
        <f t="shared" si="79"/>
        <v>6.62</v>
      </c>
      <c r="F823" s="97">
        <f t="shared" si="80"/>
        <v>39.700000000000003</v>
      </c>
      <c r="G823" s="412"/>
      <c r="H823" s="2"/>
      <c r="I823" s="34"/>
      <c r="J823" s="2"/>
      <c r="K823" s="326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89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89"/>
      <c r="BJ823" s="305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</row>
    <row r="824" spans="1:113" s="15" customFormat="1" ht="22.5" customHeight="1" x14ac:dyDescent="0.2">
      <c r="A824" s="404" t="s">
        <v>2126</v>
      </c>
      <c r="B824" s="408" t="s">
        <v>827</v>
      </c>
      <c r="C824" s="384" t="s">
        <v>228</v>
      </c>
      <c r="D824" s="13">
        <f>41.2*1.05</f>
        <v>43.26</v>
      </c>
      <c r="E824" s="14">
        <f t="shared" si="79"/>
        <v>8.65</v>
      </c>
      <c r="F824" s="97">
        <f t="shared" si="80"/>
        <v>51.91</v>
      </c>
      <c r="G824" s="412"/>
      <c r="H824" s="2"/>
      <c r="I824" s="34"/>
      <c r="J824" s="2"/>
      <c r="K824" s="326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89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89"/>
      <c r="BJ824" s="305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</row>
    <row r="825" spans="1:113" s="15" customFormat="1" ht="27" customHeight="1" x14ac:dyDescent="0.2">
      <c r="A825" s="404" t="s">
        <v>2127</v>
      </c>
      <c r="B825" s="408" t="s">
        <v>829</v>
      </c>
      <c r="C825" s="384" t="s">
        <v>228</v>
      </c>
      <c r="D825" s="13">
        <f>39.5*1.05</f>
        <v>41.48</v>
      </c>
      <c r="E825" s="14">
        <f t="shared" si="79"/>
        <v>8.3000000000000007</v>
      </c>
      <c r="F825" s="97">
        <f t="shared" si="80"/>
        <v>49.78</v>
      </c>
      <c r="G825" s="412"/>
      <c r="H825" s="2"/>
      <c r="I825" s="34"/>
      <c r="J825" s="2"/>
      <c r="K825" s="326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89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89"/>
      <c r="BJ825" s="305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</row>
    <row r="826" spans="1:113" s="15" customFormat="1" ht="17.25" customHeight="1" x14ac:dyDescent="0.2">
      <c r="A826" s="404" t="s">
        <v>2128</v>
      </c>
      <c r="B826" s="408" t="s">
        <v>831</v>
      </c>
      <c r="C826" s="384" t="s">
        <v>228</v>
      </c>
      <c r="D826" s="13">
        <f>79.27*1.05</f>
        <v>83.23</v>
      </c>
      <c r="E826" s="14">
        <f t="shared" si="79"/>
        <v>16.649999999999999</v>
      </c>
      <c r="F826" s="97">
        <f>D826+E826</f>
        <v>99.88</v>
      </c>
      <c r="G826" s="412"/>
      <c r="H826" s="2"/>
      <c r="I826" s="34"/>
      <c r="J826" s="2"/>
      <c r="K826" s="326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89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89"/>
      <c r="BJ826" s="305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</row>
    <row r="827" spans="1:113" s="15" customFormat="1" ht="18.75" customHeight="1" x14ac:dyDescent="0.2">
      <c r="A827" s="404" t="s">
        <v>2129</v>
      </c>
      <c r="B827" s="408" t="s">
        <v>833</v>
      </c>
      <c r="C827" s="384" t="s">
        <v>228</v>
      </c>
      <c r="D827" s="13">
        <f>59.2*1.05</f>
        <v>62.16</v>
      </c>
      <c r="E827" s="14">
        <f t="shared" si="79"/>
        <v>12.43</v>
      </c>
      <c r="F827" s="97">
        <f>D827+E827</f>
        <v>74.59</v>
      </c>
      <c r="G827" s="412"/>
      <c r="H827" s="2"/>
      <c r="I827" s="34"/>
      <c r="J827" s="2"/>
      <c r="K827" s="326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89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89"/>
      <c r="BJ827" s="305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</row>
    <row r="828" spans="1:113" s="15" customFormat="1" ht="18" customHeight="1" x14ac:dyDescent="0.2">
      <c r="A828" s="380" t="s">
        <v>48</v>
      </c>
      <c r="B828" s="429" t="s">
        <v>834</v>
      </c>
      <c r="C828" s="429"/>
      <c r="D828" s="429"/>
      <c r="E828" s="429"/>
      <c r="F828" s="429"/>
      <c r="G828" s="412"/>
      <c r="H828" s="2"/>
      <c r="I828" s="34"/>
      <c r="J828" s="2"/>
      <c r="K828" s="326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89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89"/>
      <c r="BJ828" s="305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</row>
    <row r="829" spans="1:113" s="15" customFormat="1" ht="36" customHeight="1" x14ac:dyDescent="0.2">
      <c r="A829" s="405" t="s">
        <v>780</v>
      </c>
      <c r="B829" s="381" t="s">
        <v>836</v>
      </c>
      <c r="C829" s="384" t="s">
        <v>228</v>
      </c>
      <c r="D829" s="13">
        <f>138.41*1.05</f>
        <v>145.33000000000001</v>
      </c>
      <c r="E829" s="14">
        <f>D829*20%</f>
        <v>29.07</v>
      </c>
      <c r="F829" s="97">
        <f>D829+E829</f>
        <v>174.4</v>
      </c>
      <c r="G829" s="412"/>
      <c r="H829" s="2"/>
      <c r="I829" s="34"/>
      <c r="J829" s="2"/>
      <c r="K829" s="326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89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89"/>
      <c r="BJ829" s="305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</row>
    <row r="830" spans="1:113" s="15" customFormat="1" ht="17.25" customHeight="1" x14ac:dyDescent="0.2">
      <c r="A830" s="405" t="s">
        <v>782</v>
      </c>
      <c r="B830" s="381" t="s">
        <v>838</v>
      </c>
      <c r="C830" s="384" t="s">
        <v>228</v>
      </c>
      <c r="D830" s="13">
        <f>138.41*1.05</f>
        <v>145.33000000000001</v>
      </c>
      <c r="E830" s="14">
        <f>D830*20%</f>
        <v>29.07</v>
      </c>
      <c r="F830" s="97">
        <f>D830+E830</f>
        <v>174.4</v>
      </c>
      <c r="G830" s="412"/>
      <c r="H830" s="2"/>
      <c r="I830" s="34"/>
      <c r="J830" s="2"/>
      <c r="K830" s="326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89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89"/>
      <c r="BJ830" s="305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</row>
    <row r="831" spans="1:113" s="15" customFormat="1" ht="46.5" customHeight="1" x14ac:dyDescent="0.2">
      <c r="A831" s="405" t="s">
        <v>784</v>
      </c>
      <c r="B831" s="381" t="s">
        <v>840</v>
      </c>
      <c r="C831" s="384" t="s">
        <v>228</v>
      </c>
      <c r="D831" s="13">
        <f>93.41*1.05</f>
        <v>98.08</v>
      </c>
      <c r="E831" s="14">
        <f>D831*20%</f>
        <v>19.62</v>
      </c>
      <c r="F831" s="97">
        <f>D831+E831</f>
        <v>117.7</v>
      </c>
      <c r="G831" s="412"/>
      <c r="H831" s="2"/>
      <c r="I831" s="34"/>
      <c r="J831" s="2"/>
      <c r="K831" s="326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89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89"/>
      <c r="BJ831" s="305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</row>
    <row r="832" spans="1:113" s="15" customFormat="1" ht="34.5" customHeight="1" x14ac:dyDescent="0.2">
      <c r="A832" s="405" t="s">
        <v>786</v>
      </c>
      <c r="B832" s="381" t="s">
        <v>842</v>
      </c>
      <c r="C832" s="384" t="s">
        <v>228</v>
      </c>
      <c r="D832" s="13">
        <f>138.41*1.05</f>
        <v>145.33000000000001</v>
      </c>
      <c r="E832" s="14">
        <f>D832*20%</f>
        <v>29.07</v>
      </c>
      <c r="F832" s="97">
        <f>D832+E832</f>
        <v>174.4</v>
      </c>
      <c r="G832" s="412"/>
      <c r="H832" s="2"/>
      <c r="I832" s="34"/>
      <c r="J832" s="2"/>
      <c r="K832" s="326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89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89"/>
      <c r="BJ832" s="305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</row>
    <row r="833" spans="1:113" s="15" customFormat="1" ht="33.75" customHeight="1" x14ac:dyDescent="0.2">
      <c r="A833" s="405" t="s">
        <v>788</v>
      </c>
      <c r="B833" s="381" t="s">
        <v>844</v>
      </c>
      <c r="C833" s="384" t="s">
        <v>228</v>
      </c>
      <c r="D833" s="13">
        <f>93.41*1.05</f>
        <v>98.08</v>
      </c>
      <c r="E833" s="14">
        <f>D833*20%</f>
        <v>19.62</v>
      </c>
      <c r="F833" s="97">
        <f>D833+E833</f>
        <v>117.7</v>
      </c>
      <c r="G833" s="412"/>
      <c r="H833" s="2"/>
      <c r="I833" s="34"/>
      <c r="J833" s="2"/>
      <c r="K833" s="326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89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89"/>
      <c r="BJ833" s="305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</row>
    <row r="834" spans="1:113" s="15" customFormat="1" ht="21.75" customHeight="1" x14ac:dyDescent="0.2">
      <c r="A834" s="380" t="s">
        <v>50</v>
      </c>
      <c r="B834" s="429" t="s">
        <v>853</v>
      </c>
      <c r="C834" s="429"/>
      <c r="D834" s="429"/>
      <c r="E834" s="429"/>
      <c r="F834" s="429"/>
      <c r="G834" s="412"/>
      <c r="H834" s="2"/>
      <c r="I834" s="34"/>
      <c r="J834" s="2"/>
      <c r="K834" s="326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89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89"/>
      <c r="BJ834" s="305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</row>
    <row r="835" spans="1:113" s="15" customFormat="1" ht="35.25" customHeight="1" x14ac:dyDescent="0.2">
      <c r="A835" s="404" t="s">
        <v>835</v>
      </c>
      <c r="B835" s="381" t="s">
        <v>855</v>
      </c>
      <c r="C835" s="384" t="s">
        <v>228</v>
      </c>
      <c r="D835" s="13">
        <f>146.1*1.05</f>
        <v>153.41</v>
      </c>
      <c r="E835" s="14">
        <f>D835*20%</f>
        <v>30.68</v>
      </c>
      <c r="F835" s="97">
        <f>D835+E835</f>
        <v>184.09</v>
      </c>
      <c r="G835" s="412"/>
      <c r="H835" s="2"/>
      <c r="I835" s="34"/>
      <c r="J835" s="2"/>
      <c r="K835" s="326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89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89"/>
      <c r="BJ835" s="305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</row>
    <row r="836" spans="1:113" s="15" customFormat="1" ht="18.75" customHeight="1" x14ac:dyDescent="0.2">
      <c r="A836" s="404" t="s">
        <v>837</v>
      </c>
      <c r="B836" s="381" t="s">
        <v>857</v>
      </c>
      <c r="C836" s="384" t="s">
        <v>228</v>
      </c>
      <c r="D836" s="13">
        <f>139.16*1.05</f>
        <v>146.12</v>
      </c>
      <c r="E836" s="14">
        <f>D836*20%</f>
        <v>29.22</v>
      </c>
      <c r="F836" s="97">
        <f>D836+E836</f>
        <v>175.34</v>
      </c>
      <c r="G836" s="412"/>
      <c r="H836" s="2"/>
      <c r="I836" s="34"/>
      <c r="J836" s="2"/>
      <c r="K836" s="326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89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89"/>
      <c r="BJ836" s="305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</row>
    <row r="837" spans="1:113" s="15" customFormat="1" ht="18" customHeight="1" x14ac:dyDescent="0.2">
      <c r="A837" s="404" t="s">
        <v>839</v>
      </c>
      <c r="B837" s="381" t="s">
        <v>859</v>
      </c>
      <c r="C837" s="384" t="s">
        <v>228</v>
      </c>
      <c r="D837" s="13">
        <f>199.6*1.05</f>
        <v>209.58</v>
      </c>
      <c r="E837" s="14">
        <f>D837*20%</f>
        <v>41.92</v>
      </c>
      <c r="F837" s="97">
        <f>D837+E837</f>
        <v>251.5</v>
      </c>
      <c r="G837" s="412"/>
      <c r="H837" s="2"/>
      <c r="I837" s="34"/>
      <c r="J837" s="2"/>
      <c r="K837" s="326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89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89"/>
      <c r="BJ837" s="305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</row>
    <row r="838" spans="1:113" s="15" customFormat="1" ht="28.5" customHeight="1" x14ac:dyDescent="0.2">
      <c r="A838" s="404" t="s">
        <v>841</v>
      </c>
      <c r="B838" s="381" t="s">
        <v>861</v>
      </c>
      <c r="C838" s="384" t="s">
        <v>228</v>
      </c>
      <c r="D838" s="13">
        <f>192.4*1.05</f>
        <v>202.02</v>
      </c>
      <c r="E838" s="14">
        <f>D838*20%</f>
        <v>40.4</v>
      </c>
      <c r="F838" s="97">
        <f>D838+E838</f>
        <v>242.42</v>
      </c>
      <c r="G838" s="412"/>
      <c r="H838" s="2"/>
      <c r="I838" s="34"/>
      <c r="J838" s="2"/>
      <c r="K838" s="326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89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89"/>
      <c r="BJ838" s="305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</row>
    <row r="839" spans="1:113" s="15" customFormat="1" ht="20.25" customHeight="1" x14ac:dyDescent="0.2">
      <c r="A839" s="108" t="s">
        <v>52</v>
      </c>
      <c r="B839" s="429" t="s">
        <v>862</v>
      </c>
      <c r="C839" s="429"/>
      <c r="D839" s="429"/>
      <c r="E839" s="429"/>
      <c r="F839" s="429"/>
      <c r="G839" s="412"/>
      <c r="H839" s="2"/>
      <c r="I839" s="34"/>
      <c r="J839" s="2"/>
      <c r="K839" s="326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89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89"/>
      <c r="BJ839" s="305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</row>
    <row r="840" spans="1:113" s="15" customFormat="1" ht="35.25" customHeight="1" x14ac:dyDescent="0.2">
      <c r="A840" s="404" t="s">
        <v>846</v>
      </c>
      <c r="B840" s="381" t="s">
        <v>864</v>
      </c>
      <c r="C840" s="384" t="s">
        <v>228</v>
      </c>
      <c r="D840" s="13">
        <f>434.04*1.05</f>
        <v>455.74</v>
      </c>
      <c r="E840" s="14">
        <f t="shared" ref="E840:E871" si="81">D840*20%</f>
        <v>91.15</v>
      </c>
      <c r="F840" s="97">
        <f t="shared" ref="F840:F869" si="82">D840+E840</f>
        <v>546.89</v>
      </c>
      <c r="G840" s="412"/>
      <c r="H840" s="2"/>
      <c r="I840" s="34"/>
      <c r="J840" s="2"/>
      <c r="K840" s="326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89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89"/>
      <c r="BJ840" s="305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</row>
    <row r="841" spans="1:113" s="15" customFormat="1" ht="46.5" customHeight="1" x14ac:dyDescent="0.2">
      <c r="A841" s="404" t="s">
        <v>2130</v>
      </c>
      <c r="B841" s="381" t="s">
        <v>866</v>
      </c>
      <c r="C841" s="384" t="s">
        <v>228</v>
      </c>
      <c r="D841" s="13">
        <f>308.19*1.05</f>
        <v>323.60000000000002</v>
      </c>
      <c r="E841" s="14">
        <f t="shared" si="81"/>
        <v>64.72</v>
      </c>
      <c r="F841" s="97">
        <f t="shared" si="82"/>
        <v>388.32</v>
      </c>
      <c r="G841" s="412"/>
      <c r="H841" s="2"/>
      <c r="I841" s="34"/>
      <c r="J841" s="2"/>
      <c r="K841" s="326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89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89"/>
      <c r="BJ841" s="305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</row>
    <row r="842" spans="1:113" s="15" customFormat="1" ht="35.25" customHeight="1" x14ac:dyDescent="0.2">
      <c r="A842" s="404" t="s">
        <v>2131</v>
      </c>
      <c r="B842" s="381" t="s">
        <v>868</v>
      </c>
      <c r="C842" s="384" t="s">
        <v>228</v>
      </c>
      <c r="D842" s="13">
        <f>317.75*1.05</f>
        <v>333.64</v>
      </c>
      <c r="E842" s="14">
        <f t="shared" si="81"/>
        <v>66.73</v>
      </c>
      <c r="F842" s="97">
        <f t="shared" si="82"/>
        <v>400.37</v>
      </c>
      <c r="G842" s="412"/>
      <c r="H842" s="2"/>
      <c r="I842" s="34"/>
      <c r="J842" s="2"/>
      <c r="K842" s="326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89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89"/>
      <c r="BJ842" s="305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</row>
    <row r="843" spans="1:113" s="15" customFormat="1" ht="34.5" customHeight="1" x14ac:dyDescent="0.2">
      <c r="A843" s="404" t="s">
        <v>2132</v>
      </c>
      <c r="B843" s="381" t="s">
        <v>870</v>
      </c>
      <c r="C843" s="384" t="s">
        <v>228</v>
      </c>
      <c r="D843" s="13">
        <f>263.96*1.05</f>
        <v>277.16000000000003</v>
      </c>
      <c r="E843" s="14">
        <f t="shared" si="81"/>
        <v>55.43</v>
      </c>
      <c r="F843" s="97">
        <f t="shared" si="82"/>
        <v>332.59</v>
      </c>
      <c r="G843" s="412"/>
      <c r="H843" s="2"/>
      <c r="I843" s="34"/>
      <c r="J843" s="2"/>
      <c r="K843" s="326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89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89"/>
      <c r="BJ843" s="305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</row>
    <row r="844" spans="1:113" s="15" customFormat="1" ht="31.5" customHeight="1" x14ac:dyDescent="0.2">
      <c r="A844" s="404" t="s">
        <v>2133</v>
      </c>
      <c r="B844" s="381" t="s">
        <v>872</v>
      </c>
      <c r="C844" s="384" t="s">
        <v>228</v>
      </c>
      <c r="D844" s="13">
        <f>263.5*1.05</f>
        <v>276.68</v>
      </c>
      <c r="E844" s="14">
        <f t="shared" si="81"/>
        <v>55.34</v>
      </c>
      <c r="F844" s="97">
        <f t="shared" si="82"/>
        <v>332.02</v>
      </c>
      <c r="G844" s="412"/>
      <c r="H844" s="2"/>
      <c r="I844" s="34"/>
      <c r="J844" s="2"/>
      <c r="K844" s="326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89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89"/>
      <c r="BJ844" s="305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</row>
    <row r="845" spans="1:113" s="15" customFormat="1" ht="46.5" customHeight="1" x14ac:dyDescent="0.2">
      <c r="A845" s="404" t="s">
        <v>2134</v>
      </c>
      <c r="B845" s="381" t="s">
        <v>874</v>
      </c>
      <c r="C845" s="384" t="s">
        <v>228</v>
      </c>
      <c r="D845" s="13">
        <f>272.11*1.05</f>
        <v>285.72000000000003</v>
      </c>
      <c r="E845" s="14">
        <f t="shared" si="81"/>
        <v>57.14</v>
      </c>
      <c r="F845" s="97">
        <f t="shared" si="82"/>
        <v>342.86</v>
      </c>
      <c r="G845" s="412"/>
      <c r="H845" s="2"/>
      <c r="I845" s="34"/>
      <c r="J845" s="2"/>
      <c r="K845" s="326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89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89"/>
      <c r="BJ845" s="305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</row>
    <row r="846" spans="1:113" s="15" customFormat="1" ht="28.5" customHeight="1" x14ac:dyDescent="0.2">
      <c r="A846" s="404" t="s">
        <v>2135</v>
      </c>
      <c r="B846" s="381" t="s">
        <v>876</v>
      </c>
      <c r="C846" s="384" t="s">
        <v>228</v>
      </c>
      <c r="D846" s="13">
        <f>209.84*1.05</f>
        <v>220.33</v>
      </c>
      <c r="E846" s="14">
        <f t="shared" si="81"/>
        <v>44.07</v>
      </c>
      <c r="F846" s="97">
        <f t="shared" si="82"/>
        <v>264.39999999999998</v>
      </c>
      <c r="G846" s="412"/>
      <c r="H846" s="2"/>
      <c r="I846" s="34"/>
      <c r="J846" s="2"/>
      <c r="K846" s="326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89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89"/>
      <c r="BJ846" s="305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</row>
    <row r="847" spans="1:113" s="15" customFormat="1" ht="46.5" customHeight="1" x14ac:dyDescent="0.2">
      <c r="A847" s="404" t="s">
        <v>2136</v>
      </c>
      <c r="B847" s="381" t="s">
        <v>878</v>
      </c>
      <c r="C847" s="384" t="s">
        <v>228</v>
      </c>
      <c r="D847" s="13">
        <f>155.71*1.05</f>
        <v>163.5</v>
      </c>
      <c r="E847" s="14">
        <f t="shared" si="81"/>
        <v>32.700000000000003</v>
      </c>
      <c r="F847" s="97">
        <f t="shared" si="82"/>
        <v>196.2</v>
      </c>
      <c r="G847" s="412"/>
      <c r="H847" s="2"/>
      <c r="I847" s="34"/>
      <c r="J847" s="2"/>
      <c r="K847" s="326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89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89"/>
      <c r="BJ847" s="305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</row>
    <row r="848" spans="1:113" s="15" customFormat="1" ht="46.5" customHeight="1" x14ac:dyDescent="0.2">
      <c r="A848" s="404" t="s">
        <v>2137</v>
      </c>
      <c r="B848" s="381" t="s">
        <v>880</v>
      </c>
      <c r="C848" s="384" t="s">
        <v>228</v>
      </c>
      <c r="D848" s="13">
        <f>255.11*1.05</f>
        <v>267.87</v>
      </c>
      <c r="E848" s="14">
        <f t="shared" si="81"/>
        <v>53.57</v>
      </c>
      <c r="F848" s="97">
        <f t="shared" si="82"/>
        <v>321.44</v>
      </c>
      <c r="G848" s="412"/>
      <c r="H848" s="2"/>
      <c r="I848" s="34"/>
      <c r="J848" s="2"/>
      <c r="K848" s="326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89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89"/>
      <c r="BJ848" s="305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</row>
    <row r="849" spans="1:113" s="15" customFormat="1" ht="46.5" customHeight="1" x14ac:dyDescent="0.2">
      <c r="A849" s="404" t="s">
        <v>2138</v>
      </c>
      <c r="B849" s="381" t="s">
        <v>882</v>
      </c>
      <c r="C849" s="384" t="s">
        <v>228</v>
      </c>
      <c r="D849" s="13">
        <f>275.62*1.05</f>
        <v>289.39999999999998</v>
      </c>
      <c r="E849" s="14">
        <f t="shared" si="81"/>
        <v>57.88</v>
      </c>
      <c r="F849" s="97">
        <f t="shared" si="82"/>
        <v>347.28</v>
      </c>
      <c r="G849" s="412"/>
      <c r="H849" s="2"/>
      <c r="I849" s="34"/>
      <c r="J849" s="2"/>
      <c r="K849" s="326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89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89"/>
      <c r="BJ849" s="305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</row>
    <row r="850" spans="1:113" s="15" customFormat="1" ht="32.25" customHeight="1" x14ac:dyDescent="0.2">
      <c r="A850" s="404" t="s">
        <v>2139</v>
      </c>
      <c r="B850" s="381" t="s">
        <v>884</v>
      </c>
      <c r="C850" s="384" t="s">
        <v>228</v>
      </c>
      <c r="D850" s="13">
        <f>15.92*1.05</f>
        <v>16.72</v>
      </c>
      <c r="E850" s="14">
        <f t="shared" si="81"/>
        <v>3.34</v>
      </c>
      <c r="F850" s="97">
        <f t="shared" si="82"/>
        <v>20.059999999999999</v>
      </c>
      <c r="G850" s="412"/>
      <c r="H850" s="2"/>
      <c r="I850" s="34"/>
      <c r="J850" s="2"/>
      <c r="K850" s="326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89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89"/>
      <c r="BJ850" s="305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</row>
    <row r="851" spans="1:113" s="15" customFormat="1" ht="46.5" customHeight="1" x14ac:dyDescent="0.2">
      <c r="A851" s="404" t="s">
        <v>2140</v>
      </c>
      <c r="B851" s="381" t="s">
        <v>886</v>
      </c>
      <c r="C851" s="384" t="s">
        <v>228</v>
      </c>
      <c r="D851" s="13">
        <f>119.6*1.05</f>
        <v>125.58</v>
      </c>
      <c r="E851" s="14">
        <f t="shared" si="81"/>
        <v>25.12</v>
      </c>
      <c r="F851" s="97">
        <f t="shared" si="82"/>
        <v>150.69999999999999</v>
      </c>
      <c r="G851" s="412"/>
      <c r="H851" s="2"/>
      <c r="I851" s="34"/>
      <c r="J851" s="2"/>
      <c r="K851" s="326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89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89"/>
      <c r="BJ851" s="305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</row>
    <row r="852" spans="1:113" s="15" customFormat="1" ht="22.5" customHeight="1" x14ac:dyDescent="0.2">
      <c r="A852" s="404" t="s">
        <v>2141</v>
      </c>
      <c r="B852" s="381" t="s">
        <v>888</v>
      </c>
      <c r="C852" s="384" t="s">
        <v>228</v>
      </c>
      <c r="D852" s="13">
        <f>116.5*1.05</f>
        <v>122.33</v>
      </c>
      <c r="E852" s="14">
        <f t="shared" si="81"/>
        <v>24.47</v>
      </c>
      <c r="F852" s="97">
        <f t="shared" si="82"/>
        <v>146.80000000000001</v>
      </c>
      <c r="G852" s="412"/>
      <c r="H852" s="2"/>
      <c r="I852" s="34"/>
      <c r="J852" s="2"/>
      <c r="K852" s="326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89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89"/>
      <c r="BJ852" s="305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</row>
    <row r="853" spans="1:113" s="15" customFormat="1" ht="20.25" customHeight="1" x14ac:dyDescent="0.2">
      <c r="A853" s="404" t="s">
        <v>2142</v>
      </c>
      <c r="B853" s="381" t="s">
        <v>890</v>
      </c>
      <c r="C853" s="384" t="s">
        <v>228</v>
      </c>
      <c r="D853" s="13">
        <f>258.78*1.05</f>
        <v>271.72000000000003</v>
      </c>
      <c r="E853" s="14">
        <f t="shared" si="81"/>
        <v>54.34</v>
      </c>
      <c r="F853" s="97">
        <f t="shared" si="82"/>
        <v>326.06</v>
      </c>
      <c r="G853" s="412"/>
      <c r="H853" s="2"/>
      <c r="I853" s="34"/>
      <c r="J853" s="2"/>
      <c r="K853" s="326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89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89"/>
      <c r="BJ853" s="305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</row>
    <row r="854" spans="1:113" s="15" customFormat="1" ht="17.25" customHeight="1" x14ac:dyDescent="0.2">
      <c r="A854" s="404" t="s">
        <v>2143</v>
      </c>
      <c r="B854" s="381" t="s">
        <v>892</v>
      </c>
      <c r="C854" s="384" t="s">
        <v>228</v>
      </c>
      <c r="D854" s="13">
        <f>184.24*1.05</f>
        <v>193.45</v>
      </c>
      <c r="E854" s="14">
        <f t="shared" si="81"/>
        <v>38.69</v>
      </c>
      <c r="F854" s="97">
        <f t="shared" si="82"/>
        <v>232.14</v>
      </c>
      <c r="G854" s="412"/>
      <c r="H854" s="2"/>
      <c r="I854" s="34"/>
      <c r="J854" s="2"/>
      <c r="K854" s="326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89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89"/>
      <c r="BJ854" s="305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</row>
    <row r="855" spans="1:113" s="15" customFormat="1" ht="20.25" customHeight="1" x14ac:dyDescent="0.2">
      <c r="A855" s="404" t="s">
        <v>2144</v>
      </c>
      <c r="B855" s="381" t="s">
        <v>894</v>
      </c>
      <c r="C855" s="384" t="s">
        <v>228</v>
      </c>
      <c r="D855" s="13">
        <f>136.32*1.05</f>
        <v>143.13999999999999</v>
      </c>
      <c r="E855" s="14">
        <f t="shared" si="81"/>
        <v>28.63</v>
      </c>
      <c r="F855" s="97">
        <f t="shared" si="82"/>
        <v>171.77</v>
      </c>
      <c r="G855" s="412"/>
      <c r="H855" s="2"/>
      <c r="I855" s="34"/>
      <c r="J855" s="2"/>
      <c r="K855" s="326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89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89"/>
      <c r="BJ855" s="305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</row>
    <row r="856" spans="1:113" s="15" customFormat="1" ht="17.25" customHeight="1" x14ac:dyDescent="0.2">
      <c r="A856" s="404" t="s">
        <v>2145</v>
      </c>
      <c r="B856" s="381" t="s">
        <v>896</v>
      </c>
      <c r="C856" s="384" t="s">
        <v>228</v>
      </c>
      <c r="D856" s="13">
        <f>173.58*1.05</f>
        <v>182.26</v>
      </c>
      <c r="E856" s="14">
        <f t="shared" si="81"/>
        <v>36.450000000000003</v>
      </c>
      <c r="F856" s="97">
        <f t="shared" si="82"/>
        <v>218.71</v>
      </c>
      <c r="G856" s="412"/>
      <c r="H856" s="2"/>
      <c r="I856" s="34"/>
      <c r="J856" s="2"/>
      <c r="K856" s="326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89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89"/>
      <c r="BJ856" s="305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</row>
    <row r="857" spans="1:113" s="15" customFormat="1" ht="18" customHeight="1" x14ac:dyDescent="0.2">
      <c r="A857" s="404" t="s">
        <v>2146</v>
      </c>
      <c r="B857" s="381" t="s">
        <v>898</v>
      </c>
      <c r="C857" s="384" t="s">
        <v>228</v>
      </c>
      <c r="D857" s="13">
        <f>43.01*1.05</f>
        <v>45.16</v>
      </c>
      <c r="E857" s="14">
        <f t="shared" si="81"/>
        <v>9.0299999999999994</v>
      </c>
      <c r="F857" s="97">
        <f>D857+E857</f>
        <v>54.19</v>
      </c>
      <c r="G857" s="412"/>
      <c r="H857" s="2"/>
      <c r="I857" s="34"/>
      <c r="J857" s="2"/>
      <c r="K857" s="326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89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89"/>
      <c r="BJ857" s="305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</row>
    <row r="858" spans="1:113" s="15" customFormat="1" ht="16.5" customHeight="1" x14ac:dyDescent="0.2">
      <c r="A858" s="404" t="s">
        <v>2147</v>
      </c>
      <c r="B858" s="381" t="s">
        <v>900</v>
      </c>
      <c r="C858" s="384" t="s">
        <v>228</v>
      </c>
      <c r="D858" s="13">
        <f>102.7*1.05</f>
        <v>107.84</v>
      </c>
      <c r="E858" s="14">
        <f t="shared" si="81"/>
        <v>21.57</v>
      </c>
      <c r="F858" s="13">
        <f t="shared" si="82"/>
        <v>129.41</v>
      </c>
      <c r="G858" s="412"/>
      <c r="H858" s="2"/>
      <c r="I858" s="34"/>
      <c r="J858" s="2"/>
      <c r="K858" s="326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89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89"/>
      <c r="BJ858" s="305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</row>
    <row r="859" spans="1:113" s="15" customFormat="1" ht="17.25" customHeight="1" x14ac:dyDescent="0.2">
      <c r="A859" s="404" t="s">
        <v>2148</v>
      </c>
      <c r="B859" s="381" t="s">
        <v>902</v>
      </c>
      <c r="C859" s="384" t="s">
        <v>228</v>
      </c>
      <c r="D859" s="13">
        <f>219.56*1.05</f>
        <v>230.54</v>
      </c>
      <c r="E859" s="14">
        <f t="shared" si="81"/>
        <v>46.11</v>
      </c>
      <c r="F859" s="97">
        <f t="shared" si="82"/>
        <v>276.64999999999998</v>
      </c>
      <c r="G859" s="412"/>
      <c r="H859" s="2"/>
      <c r="I859" s="34"/>
      <c r="J859" s="2"/>
      <c r="K859" s="326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89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89"/>
      <c r="BJ859" s="305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</row>
    <row r="860" spans="1:113" s="15" customFormat="1" ht="27.75" customHeight="1" x14ac:dyDescent="0.2">
      <c r="A860" s="404" t="s">
        <v>2149</v>
      </c>
      <c r="B860" s="381" t="s">
        <v>713</v>
      </c>
      <c r="C860" s="384" t="s">
        <v>228</v>
      </c>
      <c r="D860" s="13">
        <f>16.86*1.05</f>
        <v>17.7</v>
      </c>
      <c r="E860" s="14">
        <f t="shared" si="81"/>
        <v>3.54</v>
      </c>
      <c r="F860" s="97">
        <f t="shared" si="82"/>
        <v>21.24</v>
      </c>
      <c r="G860" s="412"/>
      <c r="H860" s="2"/>
      <c r="I860" s="34"/>
      <c r="J860" s="2"/>
      <c r="K860" s="326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89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89"/>
      <c r="BJ860" s="305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</row>
    <row r="861" spans="1:113" s="15" customFormat="1" ht="22.5" customHeight="1" x14ac:dyDescent="0.2">
      <c r="A861" s="404" t="s">
        <v>2150</v>
      </c>
      <c r="B861" s="381" t="s">
        <v>905</v>
      </c>
      <c r="C861" s="384" t="s">
        <v>228</v>
      </c>
      <c r="D861" s="13">
        <f>137.8*1.05</f>
        <v>144.69</v>
      </c>
      <c r="E861" s="14">
        <f t="shared" si="81"/>
        <v>28.94</v>
      </c>
      <c r="F861" s="97">
        <f t="shared" si="82"/>
        <v>173.63</v>
      </c>
      <c r="G861" s="412"/>
      <c r="H861" s="2"/>
      <c r="I861" s="34"/>
      <c r="J861" s="2"/>
      <c r="K861" s="326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89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89"/>
      <c r="BJ861" s="305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</row>
    <row r="862" spans="1:113" s="15" customFormat="1" ht="46.5" customHeight="1" x14ac:dyDescent="0.2">
      <c r="A862" s="404" t="s">
        <v>2151</v>
      </c>
      <c r="B862" s="381" t="s">
        <v>907</v>
      </c>
      <c r="C862" s="384" t="s">
        <v>228</v>
      </c>
      <c r="D862" s="13">
        <f>166.97*1.05</f>
        <v>175.32</v>
      </c>
      <c r="E862" s="14">
        <f t="shared" si="81"/>
        <v>35.06</v>
      </c>
      <c r="F862" s="97">
        <f>D862+E862</f>
        <v>210.38</v>
      </c>
      <c r="G862" s="412"/>
      <c r="H862" s="2"/>
      <c r="I862" s="34"/>
      <c r="J862" s="2"/>
      <c r="K862" s="326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89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89"/>
      <c r="BJ862" s="305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</row>
    <row r="863" spans="1:113" s="15" customFormat="1" ht="15.75" customHeight="1" x14ac:dyDescent="0.2">
      <c r="A863" s="404" t="s">
        <v>2152</v>
      </c>
      <c r="B863" s="381" t="s">
        <v>731</v>
      </c>
      <c r="C863" s="384" t="s">
        <v>228</v>
      </c>
      <c r="D863" s="13">
        <f>209.1*1.05</f>
        <v>219.56</v>
      </c>
      <c r="E863" s="14">
        <f t="shared" si="81"/>
        <v>43.91</v>
      </c>
      <c r="F863" s="97">
        <f t="shared" si="82"/>
        <v>263.47000000000003</v>
      </c>
      <c r="G863" s="412"/>
      <c r="H863" s="2"/>
      <c r="I863" s="34"/>
      <c r="J863" s="2"/>
      <c r="K863" s="326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89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89"/>
      <c r="BJ863" s="305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</row>
    <row r="864" spans="1:113" s="15" customFormat="1" ht="20.25" customHeight="1" x14ac:dyDescent="0.2">
      <c r="A864" s="404" t="s">
        <v>2153</v>
      </c>
      <c r="B864" s="381" t="s">
        <v>910</v>
      </c>
      <c r="C864" s="384" t="s">
        <v>228</v>
      </c>
      <c r="D864" s="13">
        <f>96.8*1.05</f>
        <v>101.64</v>
      </c>
      <c r="E864" s="14">
        <f t="shared" si="81"/>
        <v>20.329999999999998</v>
      </c>
      <c r="F864" s="97">
        <f t="shared" si="82"/>
        <v>121.97</v>
      </c>
      <c r="G864" s="412"/>
      <c r="H864" s="2"/>
      <c r="I864" s="34"/>
      <c r="J864" s="2"/>
      <c r="K864" s="326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89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89"/>
      <c r="BJ864" s="305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</row>
    <row r="865" spans="1:113" s="15" customFormat="1" ht="18.75" customHeight="1" x14ac:dyDescent="0.2">
      <c r="A865" s="404" t="s">
        <v>2154</v>
      </c>
      <c r="B865" s="381" t="s">
        <v>912</v>
      </c>
      <c r="C865" s="384" t="s">
        <v>228</v>
      </c>
      <c r="D865" s="13">
        <f>84.16*1.05</f>
        <v>88.37</v>
      </c>
      <c r="E865" s="14">
        <f t="shared" si="81"/>
        <v>17.670000000000002</v>
      </c>
      <c r="F865" s="97">
        <f t="shared" si="82"/>
        <v>106.04</v>
      </c>
      <c r="G865" s="412"/>
      <c r="H865" s="2"/>
      <c r="I865" s="34"/>
      <c r="J865" s="2"/>
      <c r="K865" s="326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89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89"/>
      <c r="BJ865" s="305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</row>
    <row r="866" spans="1:113" s="15" customFormat="1" ht="16.5" customHeight="1" x14ac:dyDescent="0.2">
      <c r="A866" s="404" t="s">
        <v>2155</v>
      </c>
      <c r="B866" s="381" t="s">
        <v>914</v>
      </c>
      <c r="C866" s="384" t="s">
        <v>228</v>
      </c>
      <c r="D866" s="13">
        <f>62.91*1.05</f>
        <v>66.06</v>
      </c>
      <c r="E866" s="14">
        <f t="shared" si="81"/>
        <v>13.21</v>
      </c>
      <c r="F866" s="97">
        <f t="shared" si="82"/>
        <v>79.27</v>
      </c>
      <c r="G866" s="412"/>
      <c r="H866" s="2"/>
      <c r="I866" s="34"/>
      <c r="J866" s="2"/>
      <c r="K866" s="326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89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89"/>
      <c r="BJ866" s="305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</row>
    <row r="867" spans="1:113" s="15" customFormat="1" ht="30" customHeight="1" x14ac:dyDescent="0.2">
      <c r="A867" s="404" t="s">
        <v>2156</v>
      </c>
      <c r="B867" s="381" t="s">
        <v>916</v>
      </c>
      <c r="C867" s="384" t="s">
        <v>228</v>
      </c>
      <c r="D867" s="13">
        <f>128.98*1.05</f>
        <v>135.43</v>
      </c>
      <c r="E867" s="14">
        <f t="shared" si="81"/>
        <v>27.09</v>
      </c>
      <c r="F867" s="97">
        <f t="shared" si="82"/>
        <v>162.52000000000001</v>
      </c>
      <c r="G867" s="412"/>
      <c r="H867" s="2"/>
      <c r="I867" s="34"/>
      <c r="J867" s="2"/>
      <c r="K867" s="326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89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89"/>
      <c r="BJ867" s="305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</row>
    <row r="868" spans="1:113" s="15" customFormat="1" ht="21.75" customHeight="1" x14ac:dyDescent="0.2">
      <c r="A868" s="404" t="s">
        <v>2157</v>
      </c>
      <c r="B868" s="381" t="s">
        <v>918</v>
      </c>
      <c r="C868" s="384" t="s">
        <v>228</v>
      </c>
      <c r="D868" s="13">
        <f>96.64*1.05</f>
        <v>101.47</v>
      </c>
      <c r="E868" s="14">
        <f t="shared" si="81"/>
        <v>20.29</v>
      </c>
      <c r="F868" s="97">
        <f t="shared" si="82"/>
        <v>121.76</v>
      </c>
      <c r="G868" s="412"/>
      <c r="H868" s="2"/>
      <c r="I868" s="34"/>
      <c r="J868" s="2"/>
      <c r="K868" s="326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89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89"/>
      <c r="BJ868" s="305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</row>
    <row r="869" spans="1:113" s="15" customFormat="1" ht="25.5" customHeight="1" x14ac:dyDescent="0.2">
      <c r="A869" s="404" t="s">
        <v>2158</v>
      </c>
      <c r="B869" s="381" t="s">
        <v>920</v>
      </c>
      <c r="C869" s="384" t="s">
        <v>228</v>
      </c>
      <c r="D869" s="13">
        <f>117.09*1.05</f>
        <v>122.94</v>
      </c>
      <c r="E869" s="14">
        <f t="shared" si="81"/>
        <v>24.59</v>
      </c>
      <c r="F869" s="97">
        <f t="shared" si="82"/>
        <v>147.53</v>
      </c>
      <c r="G869" s="412"/>
      <c r="H869" s="2"/>
      <c r="I869" s="34"/>
      <c r="J869" s="2"/>
      <c r="K869" s="326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89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89"/>
      <c r="BJ869" s="305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</row>
    <row r="870" spans="1:113" s="15" customFormat="1" ht="21.75" customHeight="1" x14ac:dyDescent="0.2">
      <c r="A870" s="404" t="s">
        <v>2159</v>
      </c>
      <c r="B870" s="381" t="s">
        <v>922</v>
      </c>
      <c r="C870" s="384" t="s">
        <v>228</v>
      </c>
      <c r="D870" s="13">
        <f>100.1*1.05</f>
        <v>105.11</v>
      </c>
      <c r="E870" s="14">
        <f t="shared" si="81"/>
        <v>21.02</v>
      </c>
      <c r="F870" s="97">
        <f>D870+E870</f>
        <v>126.13</v>
      </c>
      <c r="G870" s="412"/>
      <c r="H870" s="2"/>
      <c r="I870" s="34"/>
      <c r="J870" s="2"/>
      <c r="K870" s="326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89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89"/>
      <c r="BJ870" s="305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</row>
    <row r="871" spans="1:113" s="15" customFormat="1" ht="29.25" customHeight="1" x14ac:dyDescent="0.2">
      <c r="A871" s="404" t="s">
        <v>2160</v>
      </c>
      <c r="B871" s="381" t="s">
        <v>741</v>
      </c>
      <c r="C871" s="384" t="s">
        <v>228</v>
      </c>
      <c r="D871" s="13">
        <f>43.55*1.05</f>
        <v>45.73</v>
      </c>
      <c r="E871" s="14">
        <f t="shared" si="81"/>
        <v>9.15</v>
      </c>
      <c r="F871" s="97">
        <f>D871+E871</f>
        <v>54.88</v>
      </c>
      <c r="G871" s="412"/>
      <c r="H871" s="2"/>
      <c r="I871" s="34"/>
      <c r="J871" s="2"/>
      <c r="K871" s="326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89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89"/>
      <c r="BJ871" s="305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</row>
    <row r="872" spans="1:113" s="15" customFormat="1" ht="19.5" customHeight="1" x14ac:dyDescent="0.2">
      <c r="A872" s="404"/>
      <c r="B872" s="430" t="s">
        <v>464</v>
      </c>
      <c r="C872" s="430"/>
      <c r="D872" s="430"/>
      <c r="E872" s="430"/>
      <c r="F872" s="430"/>
      <c r="G872" s="412"/>
      <c r="H872" s="2"/>
      <c r="I872" s="34"/>
      <c r="J872" s="2"/>
      <c r="K872" s="326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89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89"/>
      <c r="BJ872" s="305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</row>
    <row r="873" spans="1:113" s="15" customFormat="1" ht="16.5" customHeight="1" x14ac:dyDescent="0.2">
      <c r="A873" s="404" t="s">
        <v>2161</v>
      </c>
      <c r="B873" s="381" t="s">
        <v>925</v>
      </c>
      <c r="C873" s="384" t="s">
        <v>228</v>
      </c>
      <c r="D873" s="13">
        <f>268.46*1.05</f>
        <v>281.88</v>
      </c>
      <c r="E873" s="14">
        <f t="shared" ref="E873:E884" si="83">D873*20%</f>
        <v>56.38</v>
      </c>
      <c r="F873" s="97">
        <f t="shared" ref="F873:F884" si="84">D873+E873</f>
        <v>338.26</v>
      </c>
      <c r="G873" s="412"/>
      <c r="H873" s="2"/>
      <c r="I873" s="34"/>
      <c r="J873" s="2"/>
      <c r="K873" s="326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89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89"/>
      <c r="BJ873" s="305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</row>
    <row r="874" spans="1:113" s="15" customFormat="1" ht="18" customHeight="1" x14ac:dyDescent="0.2">
      <c r="A874" s="404" t="s">
        <v>2162</v>
      </c>
      <c r="B874" s="392" t="s">
        <v>926</v>
      </c>
      <c r="C874" s="384" t="s">
        <v>228</v>
      </c>
      <c r="D874" s="13">
        <f>285.77*1.05</f>
        <v>300.06</v>
      </c>
      <c r="E874" s="14">
        <f t="shared" si="83"/>
        <v>60.01</v>
      </c>
      <c r="F874" s="97">
        <f>D874+E874</f>
        <v>360.07</v>
      </c>
      <c r="G874" s="412"/>
      <c r="H874" s="2"/>
      <c r="I874" s="34"/>
      <c r="J874" s="2"/>
      <c r="K874" s="326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89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89"/>
      <c r="BJ874" s="305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</row>
    <row r="875" spans="1:113" s="15" customFormat="1" ht="18" customHeight="1" x14ac:dyDescent="0.2">
      <c r="A875" s="404" t="s">
        <v>2163</v>
      </c>
      <c r="B875" s="392" t="s">
        <v>927</v>
      </c>
      <c r="C875" s="384" t="s">
        <v>228</v>
      </c>
      <c r="D875" s="85">
        <f>128.52*1.05</f>
        <v>134.94999999999999</v>
      </c>
      <c r="E875" s="14">
        <f t="shared" si="83"/>
        <v>26.99</v>
      </c>
      <c r="F875" s="97">
        <f t="shared" si="84"/>
        <v>161.94</v>
      </c>
      <c r="G875" s="412"/>
      <c r="H875" s="2"/>
      <c r="I875" s="34"/>
      <c r="J875" s="2"/>
      <c r="K875" s="326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89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89"/>
      <c r="BJ875" s="305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</row>
    <row r="876" spans="1:113" s="15" customFormat="1" ht="18.75" customHeight="1" x14ac:dyDescent="0.2">
      <c r="A876" s="404" t="s">
        <v>2164</v>
      </c>
      <c r="B876" s="381" t="s">
        <v>928</v>
      </c>
      <c r="C876" s="384" t="s">
        <v>228</v>
      </c>
      <c r="D876" s="85">
        <f>128.52*1.05</f>
        <v>134.94999999999999</v>
      </c>
      <c r="E876" s="14">
        <f t="shared" si="83"/>
        <v>26.99</v>
      </c>
      <c r="F876" s="97">
        <f t="shared" si="84"/>
        <v>161.94</v>
      </c>
      <c r="G876" s="412"/>
      <c r="H876" s="2"/>
      <c r="I876" s="34"/>
      <c r="J876" s="2"/>
      <c r="K876" s="326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89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89"/>
      <c r="BJ876" s="305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</row>
    <row r="877" spans="1:113" s="15" customFormat="1" ht="19.5" customHeight="1" x14ac:dyDescent="0.2">
      <c r="A877" s="404" t="s">
        <v>2165</v>
      </c>
      <c r="B877" s="381" t="s">
        <v>929</v>
      </c>
      <c r="C877" s="384" t="s">
        <v>228</v>
      </c>
      <c r="D877" s="85">
        <f>144.8*1.05</f>
        <v>152.04</v>
      </c>
      <c r="E877" s="14">
        <f t="shared" si="83"/>
        <v>30.41</v>
      </c>
      <c r="F877" s="97">
        <f t="shared" si="84"/>
        <v>182.45</v>
      </c>
      <c r="G877" s="412"/>
      <c r="H877" s="2"/>
      <c r="I877" s="34"/>
      <c r="J877" s="2"/>
      <c r="K877" s="326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89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89"/>
      <c r="BJ877" s="305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</row>
    <row r="878" spans="1:113" s="15" customFormat="1" ht="33.75" customHeight="1" x14ac:dyDescent="0.2">
      <c r="A878" s="404" t="s">
        <v>2166</v>
      </c>
      <c r="B878" s="381" t="s">
        <v>930</v>
      </c>
      <c r="C878" s="384" t="s">
        <v>228</v>
      </c>
      <c r="D878" s="85">
        <f>168.35*1.05</f>
        <v>176.77</v>
      </c>
      <c r="E878" s="14">
        <f t="shared" si="83"/>
        <v>35.35</v>
      </c>
      <c r="F878" s="97">
        <f t="shared" si="84"/>
        <v>212.12</v>
      </c>
      <c r="G878" s="412"/>
      <c r="H878" s="2"/>
      <c r="I878" s="34"/>
      <c r="J878" s="2"/>
      <c r="K878" s="326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89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89"/>
      <c r="BJ878" s="305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</row>
    <row r="879" spans="1:113" s="15" customFormat="1" ht="22.5" customHeight="1" x14ac:dyDescent="0.2">
      <c r="A879" s="404" t="s">
        <v>2167</v>
      </c>
      <c r="B879" s="381" t="s">
        <v>931</v>
      </c>
      <c r="C879" s="384" t="s">
        <v>228</v>
      </c>
      <c r="D879" s="85">
        <f>203.5*1.05</f>
        <v>213.68</v>
      </c>
      <c r="E879" s="14">
        <f t="shared" si="83"/>
        <v>42.74</v>
      </c>
      <c r="F879" s="97">
        <f t="shared" si="84"/>
        <v>256.42</v>
      </c>
      <c r="G879" s="412"/>
      <c r="H879" s="2"/>
      <c r="I879" s="34"/>
      <c r="J879" s="2"/>
      <c r="K879" s="326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89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89"/>
      <c r="BJ879" s="305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</row>
    <row r="880" spans="1:113" s="15" customFormat="1" ht="46.5" customHeight="1" x14ac:dyDescent="0.2">
      <c r="A880" s="404" t="s">
        <v>2168</v>
      </c>
      <c r="B880" s="381" t="s">
        <v>932</v>
      </c>
      <c r="C880" s="384" t="s">
        <v>228</v>
      </c>
      <c r="D880" s="13">
        <f>425.62*1.05</f>
        <v>446.9</v>
      </c>
      <c r="E880" s="14">
        <f t="shared" si="83"/>
        <v>89.38</v>
      </c>
      <c r="F880" s="97">
        <f t="shared" si="84"/>
        <v>536.28</v>
      </c>
      <c r="G880" s="412"/>
      <c r="H880" s="2"/>
      <c r="I880" s="34"/>
      <c r="J880" s="2"/>
      <c r="K880" s="326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89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89"/>
      <c r="BJ880" s="305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</row>
    <row r="881" spans="1:113" s="15" customFormat="1" ht="33" customHeight="1" x14ac:dyDescent="0.2">
      <c r="A881" s="404" t="s">
        <v>2169</v>
      </c>
      <c r="B881" s="381" t="s">
        <v>933</v>
      </c>
      <c r="C881" s="384" t="s">
        <v>228</v>
      </c>
      <c r="D881" s="13">
        <f>355*1.05</f>
        <v>372.75</v>
      </c>
      <c r="E881" s="14">
        <f t="shared" si="83"/>
        <v>74.55</v>
      </c>
      <c r="F881" s="97">
        <f t="shared" si="84"/>
        <v>447.3</v>
      </c>
      <c r="G881" s="412"/>
      <c r="H881" s="2"/>
      <c r="I881" s="34"/>
      <c r="J881" s="2"/>
      <c r="K881" s="326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89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89"/>
      <c r="BJ881" s="305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</row>
    <row r="882" spans="1:113" s="15" customFormat="1" ht="18" customHeight="1" x14ac:dyDescent="0.2">
      <c r="A882" s="404" t="s">
        <v>2170</v>
      </c>
      <c r="B882" s="381" t="s">
        <v>934</v>
      </c>
      <c r="C882" s="384" t="s">
        <v>228</v>
      </c>
      <c r="D882" s="13">
        <f>348.02*1.05</f>
        <v>365.42</v>
      </c>
      <c r="E882" s="14">
        <f t="shared" si="83"/>
        <v>73.08</v>
      </c>
      <c r="F882" s="97">
        <f t="shared" si="84"/>
        <v>438.5</v>
      </c>
      <c r="G882" s="412"/>
      <c r="H882" s="2"/>
      <c r="I882" s="34"/>
      <c r="J882" s="2"/>
      <c r="K882" s="326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89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89"/>
      <c r="BJ882" s="305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</row>
    <row r="883" spans="1:113" s="15" customFormat="1" ht="18" customHeight="1" x14ac:dyDescent="0.2">
      <c r="A883" s="404" t="s">
        <v>2171</v>
      </c>
      <c r="B883" s="381" t="s">
        <v>935</v>
      </c>
      <c r="C883" s="384" t="s">
        <v>228</v>
      </c>
      <c r="D883" s="13">
        <f>320.6*1.05</f>
        <v>336.63</v>
      </c>
      <c r="E883" s="14">
        <f t="shared" si="83"/>
        <v>67.33</v>
      </c>
      <c r="F883" s="97">
        <f t="shared" si="84"/>
        <v>403.96</v>
      </c>
      <c r="G883" s="412"/>
      <c r="H883" s="2"/>
      <c r="I883" s="34"/>
      <c r="J883" s="2"/>
      <c r="K883" s="326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89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89"/>
      <c r="BJ883" s="305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</row>
    <row r="884" spans="1:113" s="15" customFormat="1" ht="30" customHeight="1" x14ac:dyDescent="0.2">
      <c r="A884" s="404" t="s">
        <v>2172</v>
      </c>
      <c r="B884" s="381" t="s">
        <v>936</v>
      </c>
      <c r="C884" s="384" t="s">
        <v>228</v>
      </c>
      <c r="D884" s="13">
        <f>158.16*1.05</f>
        <v>166.07</v>
      </c>
      <c r="E884" s="14">
        <f t="shared" si="83"/>
        <v>33.21</v>
      </c>
      <c r="F884" s="97">
        <f t="shared" si="84"/>
        <v>199.28</v>
      </c>
      <c r="G884" s="412"/>
      <c r="H884" s="2"/>
      <c r="I884" s="34"/>
      <c r="J884" s="2"/>
      <c r="K884" s="326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89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89"/>
      <c r="BJ884" s="305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</row>
    <row r="885" spans="1:113" s="15" customFormat="1" ht="19.5" customHeight="1" x14ac:dyDescent="0.2">
      <c r="A885" s="380" t="s">
        <v>54</v>
      </c>
      <c r="B885" s="429" t="s">
        <v>937</v>
      </c>
      <c r="C885" s="429"/>
      <c r="D885" s="429"/>
      <c r="E885" s="429"/>
      <c r="F885" s="429"/>
      <c r="G885" s="412"/>
      <c r="H885" s="2"/>
      <c r="I885" s="34"/>
      <c r="J885" s="2"/>
      <c r="K885" s="326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89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89"/>
      <c r="BJ885" s="305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</row>
    <row r="886" spans="1:113" s="15" customFormat="1" ht="33.75" customHeight="1" x14ac:dyDescent="0.2">
      <c r="A886" s="404" t="s">
        <v>854</v>
      </c>
      <c r="B886" s="381" t="s">
        <v>939</v>
      </c>
      <c r="C886" s="384" t="s">
        <v>228</v>
      </c>
      <c r="D886" s="13">
        <f>159.12*1.05</f>
        <v>167.08</v>
      </c>
      <c r="E886" s="14">
        <f t="shared" ref="E886:E894" si="85">D886*20%</f>
        <v>33.42</v>
      </c>
      <c r="F886" s="97">
        <f t="shared" ref="F886:F894" si="86">D886+E886</f>
        <v>200.5</v>
      </c>
      <c r="G886" s="412"/>
      <c r="H886" s="2"/>
      <c r="I886" s="34"/>
      <c r="J886" s="2"/>
      <c r="K886" s="326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89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89"/>
      <c r="BJ886" s="305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</row>
    <row r="887" spans="1:113" s="15" customFormat="1" ht="29.25" customHeight="1" x14ac:dyDescent="0.2">
      <c r="A887" s="404" t="s">
        <v>856</v>
      </c>
      <c r="B887" s="381" t="s">
        <v>941</v>
      </c>
      <c r="C887" s="384" t="s">
        <v>228</v>
      </c>
      <c r="D887" s="13">
        <f>194.48*1.05</f>
        <v>204.2</v>
      </c>
      <c r="E887" s="14">
        <f t="shared" si="85"/>
        <v>40.840000000000003</v>
      </c>
      <c r="F887" s="97">
        <f t="shared" si="86"/>
        <v>245.04</v>
      </c>
      <c r="G887" s="412"/>
      <c r="H887" s="2"/>
      <c r="I887" s="34"/>
      <c r="J887" s="2"/>
      <c r="K887" s="326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89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89"/>
      <c r="BJ887" s="305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</row>
    <row r="888" spans="1:113" s="15" customFormat="1" ht="27.75" customHeight="1" x14ac:dyDescent="0.2">
      <c r="A888" s="404" t="s">
        <v>858</v>
      </c>
      <c r="B888" s="381" t="s">
        <v>943</v>
      </c>
      <c r="C888" s="384" t="s">
        <v>228</v>
      </c>
      <c r="D888" s="13">
        <f>92.66*1.05</f>
        <v>97.29</v>
      </c>
      <c r="E888" s="14">
        <f t="shared" si="85"/>
        <v>19.46</v>
      </c>
      <c r="F888" s="97">
        <f t="shared" si="86"/>
        <v>116.75</v>
      </c>
      <c r="G888" s="412"/>
      <c r="H888" s="2"/>
      <c r="I888" s="34"/>
      <c r="J888" s="2"/>
      <c r="K888" s="326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89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89"/>
      <c r="BJ888" s="305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</row>
    <row r="889" spans="1:113" s="15" customFormat="1" ht="21.75" customHeight="1" x14ac:dyDescent="0.2">
      <c r="A889" s="404" t="s">
        <v>860</v>
      </c>
      <c r="B889" s="381" t="s">
        <v>944</v>
      </c>
      <c r="C889" s="384" t="s">
        <v>228</v>
      </c>
      <c r="D889" s="13">
        <f>195.97*1.05</f>
        <v>205.77</v>
      </c>
      <c r="E889" s="14">
        <f t="shared" si="85"/>
        <v>41.15</v>
      </c>
      <c r="F889" s="97">
        <f t="shared" si="86"/>
        <v>246.92</v>
      </c>
      <c r="G889" s="412"/>
      <c r="H889" s="2"/>
      <c r="I889" s="34"/>
      <c r="J889" s="2"/>
      <c r="K889" s="326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89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89"/>
      <c r="BJ889" s="305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</row>
    <row r="890" spans="1:113" s="15" customFormat="1" ht="21.75" customHeight="1" x14ac:dyDescent="0.2">
      <c r="A890" s="404" t="s">
        <v>2173</v>
      </c>
      <c r="B890" s="381" t="s">
        <v>945</v>
      </c>
      <c r="C890" s="384" t="s">
        <v>228</v>
      </c>
      <c r="D890" s="13">
        <f>95.82*1.05</f>
        <v>100.61</v>
      </c>
      <c r="E890" s="14">
        <f t="shared" si="85"/>
        <v>20.12</v>
      </c>
      <c r="F890" s="97">
        <f>D890+E890</f>
        <v>120.73</v>
      </c>
      <c r="G890" s="412"/>
      <c r="H890" s="2"/>
      <c r="I890" s="34"/>
      <c r="J890" s="2"/>
      <c r="K890" s="326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89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89"/>
      <c r="BJ890" s="305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</row>
    <row r="891" spans="1:113" s="15" customFormat="1" ht="20.25" customHeight="1" x14ac:dyDescent="0.2">
      <c r="A891" s="404" t="s">
        <v>2174</v>
      </c>
      <c r="B891" s="381" t="s">
        <v>946</v>
      </c>
      <c r="C891" s="384" t="s">
        <v>228</v>
      </c>
      <c r="D891" s="13">
        <f>59.28*1.05</f>
        <v>62.24</v>
      </c>
      <c r="E891" s="14">
        <f t="shared" si="85"/>
        <v>12.45</v>
      </c>
      <c r="F891" s="97">
        <f>D891+E891</f>
        <v>74.69</v>
      </c>
      <c r="G891" s="412"/>
      <c r="H891" s="2"/>
      <c r="I891" s="34"/>
      <c r="J891" s="2"/>
      <c r="K891" s="326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89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89"/>
      <c r="BJ891" s="305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</row>
    <row r="892" spans="1:113" s="15" customFormat="1" ht="31.5" customHeight="1" x14ac:dyDescent="0.2">
      <c r="A892" s="404" t="s">
        <v>2175</v>
      </c>
      <c r="B892" s="381" t="s">
        <v>947</v>
      </c>
      <c r="C892" s="384" t="s">
        <v>228</v>
      </c>
      <c r="D892" s="13">
        <f>21.54*1.05</f>
        <v>22.62</v>
      </c>
      <c r="E892" s="14">
        <f t="shared" si="85"/>
        <v>4.5199999999999996</v>
      </c>
      <c r="F892" s="97">
        <f>D892+E892</f>
        <v>27.14</v>
      </c>
      <c r="G892" s="412"/>
      <c r="H892" s="2"/>
      <c r="I892" s="34"/>
      <c r="J892" s="2"/>
      <c r="K892" s="326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89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89"/>
      <c r="BJ892" s="305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</row>
    <row r="893" spans="1:113" s="15" customFormat="1" ht="17.25" customHeight="1" x14ac:dyDescent="0.2">
      <c r="A893" s="404" t="s">
        <v>2176</v>
      </c>
      <c r="B893" s="381" t="s">
        <v>948</v>
      </c>
      <c r="C893" s="384" t="s">
        <v>228</v>
      </c>
      <c r="D893" s="13">
        <f>17.52*1.05</f>
        <v>18.399999999999999</v>
      </c>
      <c r="E893" s="14">
        <f t="shared" si="85"/>
        <v>3.68</v>
      </c>
      <c r="F893" s="97">
        <f>D893+E893</f>
        <v>22.08</v>
      </c>
      <c r="G893" s="412"/>
      <c r="H893" s="2"/>
      <c r="I893" s="34"/>
      <c r="J893" s="2"/>
      <c r="K893" s="326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89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89"/>
      <c r="BJ893" s="305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</row>
    <row r="894" spans="1:113" s="15" customFormat="1" ht="18.75" customHeight="1" x14ac:dyDescent="0.2">
      <c r="A894" s="404" t="s">
        <v>2177</v>
      </c>
      <c r="B894" s="381" t="s">
        <v>949</v>
      </c>
      <c r="C894" s="384" t="s">
        <v>228</v>
      </c>
      <c r="D894" s="13">
        <f>163.02*1.05</f>
        <v>171.17</v>
      </c>
      <c r="E894" s="14">
        <f t="shared" si="85"/>
        <v>34.229999999999997</v>
      </c>
      <c r="F894" s="97">
        <f t="shared" si="86"/>
        <v>205.4</v>
      </c>
      <c r="G894" s="412"/>
      <c r="H894" s="2"/>
      <c r="I894" s="34"/>
      <c r="J894" s="2"/>
      <c r="K894" s="326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89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89"/>
      <c r="BJ894" s="305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</row>
    <row r="895" spans="1:113" s="15" customFormat="1" ht="18" customHeight="1" x14ac:dyDescent="0.2">
      <c r="A895" s="108" t="s">
        <v>56</v>
      </c>
      <c r="B895" s="429" t="s">
        <v>950</v>
      </c>
      <c r="C895" s="429"/>
      <c r="D895" s="429"/>
      <c r="E895" s="429"/>
      <c r="F895" s="429"/>
      <c r="G895" s="412"/>
      <c r="H895" s="2"/>
      <c r="I895" s="34"/>
      <c r="J895" s="2"/>
      <c r="K895" s="326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89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89"/>
      <c r="BJ895" s="305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</row>
    <row r="896" spans="1:113" s="15" customFormat="1" ht="31.5" customHeight="1" x14ac:dyDescent="0.2">
      <c r="A896" s="404" t="s">
        <v>863</v>
      </c>
      <c r="B896" s="381" t="s">
        <v>952</v>
      </c>
      <c r="C896" s="384" t="s">
        <v>228</v>
      </c>
      <c r="D896" s="13">
        <f>32.56*1.05</f>
        <v>34.19</v>
      </c>
      <c r="E896" s="14">
        <f>D896*20%</f>
        <v>6.84</v>
      </c>
      <c r="F896" s="97">
        <f>D896+E896</f>
        <v>41.03</v>
      </c>
      <c r="G896" s="412"/>
      <c r="H896" s="2"/>
      <c r="I896" s="34"/>
      <c r="J896" s="2"/>
      <c r="K896" s="326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89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89"/>
      <c r="BJ896" s="305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</row>
    <row r="897" spans="1:256" s="15" customFormat="1" ht="30" customHeight="1" x14ac:dyDescent="0.2">
      <c r="A897" s="404" t="s">
        <v>865</v>
      </c>
      <c r="B897" s="381" t="s">
        <v>954</v>
      </c>
      <c r="C897" s="384" t="s">
        <v>228</v>
      </c>
      <c r="D897" s="13">
        <f>37.34*1.05</f>
        <v>39.21</v>
      </c>
      <c r="E897" s="14">
        <f>D897*20%</f>
        <v>7.84</v>
      </c>
      <c r="F897" s="97">
        <f>D897+E897</f>
        <v>47.05</v>
      </c>
      <c r="G897" s="412"/>
      <c r="H897" s="2"/>
      <c r="I897" s="34"/>
      <c r="J897" s="2"/>
      <c r="K897" s="326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89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89"/>
      <c r="BJ897" s="305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</row>
    <row r="898" spans="1:256" s="15" customFormat="1" ht="33" customHeight="1" x14ac:dyDescent="0.2">
      <c r="A898" s="404" t="s">
        <v>867</v>
      </c>
      <c r="B898" s="381" t="s">
        <v>956</v>
      </c>
      <c r="C898" s="384" t="s">
        <v>228</v>
      </c>
      <c r="D898" s="13">
        <f>115.89*1.05</f>
        <v>121.68</v>
      </c>
      <c r="E898" s="14">
        <f>D898*20%</f>
        <v>24.34</v>
      </c>
      <c r="F898" s="97">
        <f>D898+E898</f>
        <v>146.02000000000001</v>
      </c>
      <c r="G898" s="412"/>
      <c r="H898" s="2"/>
      <c r="I898" s="34"/>
      <c r="J898" s="2"/>
      <c r="K898" s="326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89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89"/>
      <c r="BJ898" s="305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</row>
    <row r="899" spans="1:256" s="15" customFormat="1" ht="21.75" customHeight="1" x14ac:dyDescent="0.2">
      <c r="A899" s="108" t="s">
        <v>58</v>
      </c>
      <c r="B899" s="429" t="s">
        <v>957</v>
      </c>
      <c r="C899" s="429"/>
      <c r="D899" s="429"/>
      <c r="E899" s="429"/>
      <c r="F899" s="429"/>
      <c r="G899" s="412"/>
      <c r="H899" s="2"/>
      <c r="I899" s="34"/>
      <c r="J899" s="2"/>
      <c r="K899" s="326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89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89"/>
      <c r="BJ899" s="305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</row>
    <row r="900" spans="1:256" s="15" customFormat="1" ht="33" customHeight="1" x14ac:dyDescent="0.2">
      <c r="A900" s="404" t="s">
        <v>938</v>
      </c>
      <c r="B900" s="381" t="s">
        <v>959</v>
      </c>
      <c r="C900" s="379" t="s">
        <v>960</v>
      </c>
      <c r="D900" s="13">
        <f>31.95*1.05</f>
        <v>33.549999999999997</v>
      </c>
      <c r="E900" s="14">
        <f>D900*20%</f>
        <v>6.71</v>
      </c>
      <c r="F900" s="97">
        <f>D900+E900</f>
        <v>40.26</v>
      </c>
      <c r="G900" s="412"/>
      <c r="H900" s="2"/>
      <c r="I900" s="34"/>
      <c r="J900" s="2"/>
      <c r="K900" s="326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89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89"/>
      <c r="BJ900" s="305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</row>
    <row r="901" spans="1:256" s="15" customFormat="1" ht="31.5" customHeight="1" x14ac:dyDescent="0.2">
      <c r="A901" s="404" t="s">
        <v>940</v>
      </c>
      <c r="B901" s="381" t="s">
        <v>961</v>
      </c>
      <c r="C901" s="379" t="s">
        <v>962</v>
      </c>
      <c r="D901" s="13">
        <f>19.27*1.05</f>
        <v>20.23</v>
      </c>
      <c r="E901" s="14">
        <f>D901*20%</f>
        <v>4.05</v>
      </c>
      <c r="F901" s="97">
        <f>D901+E901</f>
        <v>24.28</v>
      </c>
      <c r="G901" s="412"/>
      <c r="H901" s="2"/>
      <c r="I901" s="34"/>
      <c r="J901" s="2"/>
      <c r="K901" s="326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89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89"/>
      <c r="BJ901" s="305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</row>
    <row r="902" spans="1:256" s="15" customFormat="1" ht="46.5" customHeight="1" x14ac:dyDescent="0.2">
      <c r="A902" s="404" t="s">
        <v>942</v>
      </c>
      <c r="B902" s="381" t="s">
        <v>963</v>
      </c>
      <c r="C902" s="379" t="s">
        <v>962</v>
      </c>
      <c r="D902" s="13">
        <f>52.57*1.05</f>
        <v>55.2</v>
      </c>
      <c r="E902" s="14">
        <f>D902*20%</f>
        <v>11.04</v>
      </c>
      <c r="F902" s="97">
        <f>D902+E902</f>
        <v>66.239999999999995</v>
      </c>
      <c r="G902" s="412"/>
      <c r="H902" s="2"/>
      <c r="I902" s="34"/>
      <c r="J902" s="2"/>
      <c r="K902" s="326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89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89"/>
      <c r="BJ902" s="305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</row>
    <row r="903" spans="1:256" s="15" customFormat="1" ht="21.75" customHeight="1" x14ac:dyDescent="0.2">
      <c r="A903" s="380" t="s">
        <v>60</v>
      </c>
      <c r="B903" s="437" t="s">
        <v>964</v>
      </c>
      <c r="C903" s="437"/>
      <c r="D903" s="437"/>
      <c r="E903" s="437"/>
      <c r="F903" s="437"/>
      <c r="G903" s="412"/>
      <c r="H903" s="2"/>
      <c r="I903" s="34"/>
      <c r="J903" s="2"/>
      <c r="K903" s="326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89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89"/>
      <c r="BJ903" s="305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</row>
    <row r="904" spans="1:256" s="15" customFormat="1" ht="51" customHeight="1" x14ac:dyDescent="0.2">
      <c r="A904" s="379" t="s">
        <v>951</v>
      </c>
      <c r="B904" s="381" t="s">
        <v>966</v>
      </c>
      <c r="C904" s="384" t="s">
        <v>228</v>
      </c>
      <c r="D904" s="13">
        <f>(243.69*1.04)*1.05</f>
        <v>266.11</v>
      </c>
      <c r="E904" s="14">
        <f>D904*20%</f>
        <v>53.22</v>
      </c>
      <c r="F904" s="97">
        <f>D904+E904</f>
        <v>319.33</v>
      </c>
      <c r="G904" s="412"/>
      <c r="H904" s="2"/>
      <c r="I904" s="34"/>
      <c r="J904" s="2"/>
      <c r="K904" s="326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89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89"/>
      <c r="BJ904" s="305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</row>
    <row r="905" spans="1:256" s="15" customFormat="1" ht="50.25" customHeight="1" x14ac:dyDescent="0.2">
      <c r="A905" s="379" t="s">
        <v>953</v>
      </c>
      <c r="B905" s="289" t="s">
        <v>2311</v>
      </c>
      <c r="C905" s="122" t="s">
        <v>1666</v>
      </c>
      <c r="D905" s="13">
        <v>3050.77</v>
      </c>
      <c r="E905" s="14">
        <f>D905*20%</f>
        <v>610.15</v>
      </c>
      <c r="F905" s="97">
        <f>D905+E905</f>
        <v>3660.92</v>
      </c>
      <c r="G905" s="412"/>
      <c r="H905" s="2"/>
      <c r="I905" s="34"/>
      <c r="J905" s="2"/>
      <c r="K905" s="326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89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89"/>
      <c r="BJ905" s="305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</row>
    <row r="906" spans="1:256" s="15" customFormat="1" ht="51.75" customHeight="1" x14ac:dyDescent="0.2">
      <c r="A906" s="379" t="s">
        <v>955</v>
      </c>
      <c r="B906" s="289" t="s">
        <v>2312</v>
      </c>
      <c r="C906" s="122" t="s">
        <v>1666</v>
      </c>
      <c r="D906" s="13">
        <v>2249.71</v>
      </c>
      <c r="E906" s="14">
        <f>D906*20%</f>
        <v>449.94</v>
      </c>
      <c r="F906" s="97">
        <f>D906+E906</f>
        <v>2699.65</v>
      </c>
      <c r="G906" s="412"/>
      <c r="H906" s="2"/>
      <c r="I906" s="34"/>
      <c r="J906" s="2"/>
      <c r="K906" s="326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89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89"/>
      <c r="BJ906" s="305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</row>
    <row r="907" spans="1:256" ht="21" hidden="1" customHeight="1" x14ac:dyDescent="0.2">
      <c r="A907" s="118"/>
      <c r="B907" s="44"/>
      <c r="C907" s="119"/>
      <c r="D907" s="412"/>
      <c r="E907" s="47"/>
      <c r="F907" s="47"/>
      <c r="EH907" s="3"/>
      <c r="GS907" s="3"/>
      <c r="GT907" s="4"/>
      <c r="GU907" s="4"/>
      <c r="GV907" s="4"/>
      <c r="GW907" s="4"/>
      <c r="GX907" s="4"/>
      <c r="GY907" s="4"/>
      <c r="GZ907" s="4"/>
      <c r="HA907" s="4"/>
      <c r="IV907" s="120"/>
    </row>
    <row r="908" spans="1:256" ht="21" hidden="1" customHeight="1" x14ac:dyDescent="0.2">
      <c r="A908" s="118"/>
      <c r="B908" s="44"/>
      <c r="C908" s="119"/>
      <c r="D908" s="412"/>
      <c r="E908" s="47"/>
      <c r="F908" s="47"/>
      <c r="EH908" s="3"/>
      <c r="GS908" s="3"/>
      <c r="GT908" s="4"/>
      <c r="GU908" s="4"/>
      <c r="GV908" s="4"/>
      <c r="GW908" s="4"/>
      <c r="GX908" s="4"/>
      <c r="GY908" s="4"/>
      <c r="GZ908" s="4"/>
      <c r="HA908" s="4"/>
      <c r="IV908" s="120"/>
    </row>
    <row r="909" spans="1:256" ht="21" hidden="1" customHeight="1" x14ac:dyDescent="0.2">
      <c r="A909" s="118"/>
      <c r="B909" s="44"/>
      <c r="C909" s="119"/>
      <c r="D909" s="412"/>
      <c r="E909" s="47"/>
      <c r="F909" s="47"/>
      <c r="EH909" s="3"/>
      <c r="GS909" s="3"/>
      <c r="GT909" s="4"/>
      <c r="GU909" s="4"/>
      <c r="GV909" s="4"/>
      <c r="GW909" s="4"/>
      <c r="GX909" s="4"/>
      <c r="GY909" s="4"/>
      <c r="GZ909" s="4"/>
      <c r="HA909" s="4"/>
      <c r="IV909" s="120"/>
    </row>
    <row r="910" spans="1:256" ht="21" hidden="1" customHeight="1" x14ac:dyDescent="0.2">
      <c r="A910" s="118"/>
      <c r="B910" s="44"/>
      <c r="C910" s="119"/>
      <c r="D910" s="412"/>
      <c r="E910" s="47"/>
      <c r="F910" s="47"/>
      <c r="EH910" s="3"/>
      <c r="GS910" s="3"/>
      <c r="GT910" s="4"/>
      <c r="GU910" s="4"/>
      <c r="GV910" s="4"/>
      <c r="GW910" s="4"/>
      <c r="GX910" s="4"/>
      <c r="GY910" s="4"/>
      <c r="GZ910" s="4"/>
      <c r="HA910" s="4"/>
      <c r="IV910" s="120"/>
    </row>
    <row r="911" spans="1:256" ht="21" hidden="1" customHeight="1" x14ac:dyDescent="0.2">
      <c r="A911" s="118"/>
      <c r="B911" s="44"/>
      <c r="C911" s="119"/>
      <c r="D911" s="412"/>
      <c r="E911" s="47"/>
      <c r="F911" s="47"/>
      <c r="EH911" s="3"/>
      <c r="GS911" s="3"/>
      <c r="GT911" s="4"/>
      <c r="GU911" s="4"/>
      <c r="GV911" s="4"/>
      <c r="GW911" s="4"/>
      <c r="GX911" s="4"/>
      <c r="GY911" s="4"/>
      <c r="GZ911" s="4"/>
      <c r="HA911" s="4"/>
      <c r="IV911" s="120"/>
    </row>
    <row r="912" spans="1:256" ht="21" hidden="1" customHeight="1" x14ac:dyDescent="0.2">
      <c r="A912" s="118"/>
      <c r="B912" s="44"/>
      <c r="C912" s="119"/>
      <c r="D912" s="412"/>
      <c r="E912" s="47"/>
      <c r="F912" s="47"/>
      <c r="EH912" s="3"/>
      <c r="GS912" s="3"/>
      <c r="GT912" s="4"/>
      <c r="GU912" s="4"/>
      <c r="GV912" s="4"/>
      <c r="GW912" s="4"/>
      <c r="GX912" s="4"/>
      <c r="GY912" s="4"/>
      <c r="GZ912" s="4"/>
      <c r="HA912" s="4"/>
      <c r="IV912" s="120"/>
    </row>
    <row r="913" spans="1:256" ht="21" hidden="1" customHeight="1" x14ac:dyDescent="0.2">
      <c r="A913" s="118"/>
      <c r="B913" s="44"/>
      <c r="C913" s="119"/>
      <c r="D913" s="412"/>
      <c r="E913" s="47"/>
      <c r="F913" s="47"/>
      <c r="EH913" s="3"/>
      <c r="GS913" s="3"/>
      <c r="GT913" s="4"/>
      <c r="GU913" s="4"/>
      <c r="GV913" s="4"/>
      <c r="GW913" s="4"/>
      <c r="GX913" s="4"/>
      <c r="GY913" s="4"/>
      <c r="GZ913" s="4"/>
      <c r="HA913" s="4"/>
      <c r="IV913" s="120"/>
    </row>
    <row r="914" spans="1:256" ht="21" hidden="1" customHeight="1" x14ac:dyDescent="0.2">
      <c r="A914" s="118"/>
      <c r="B914" s="44"/>
      <c r="C914" s="119"/>
      <c r="D914" s="412"/>
      <c r="E914" s="47"/>
      <c r="F914" s="47"/>
      <c r="EH914" s="3"/>
      <c r="GS914" s="3"/>
      <c r="GT914" s="4"/>
      <c r="GU914" s="4"/>
      <c r="GV914" s="4"/>
      <c r="GW914" s="4"/>
      <c r="GX914" s="4"/>
      <c r="GY914" s="4"/>
      <c r="GZ914" s="4"/>
      <c r="HA914" s="4"/>
      <c r="IV914" s="120"/>
    </row>
    <row r="915" spans="1:256" ht="21" hidden="1" customHeight="1" x14ac:dyDescent="0.2">
      <c r="A915" s="118"/>
      <c r="B915" s="44"/>
      <c r="C915" s="119"/>
      <c r="D915" s="412"/>
      <c r="E915" s="47"/>
      <c r="F915" s="47"/>
      <c r="EH915" s="3"/>
      <c r="GS915" s="3"/>
      <c r="GT915" s="4"/>
      <c r="GU915" s="4"/>
      <c r="GV915" s="4"/>
      <c r="GW915" s="4"/>
      <c r="GX915" s="4"/>
      <c r="GY915" s="4"/>
      <c r="GZ915" s="4"/>
      <c r="HA915" s="4"/>
      <c r="IV915" s="120"/>
    </row>
    <row r="916" spans="1:256" ht="21" hidden="1" customHeight="1" x14ac:dyDescent="0.2">
      <c r="A916" s="118"/>
      <c r="B916" s="44"/>
      <c r="C916" s="119"/>
      <c r="D916" s="412"/>
      <c r="E916" s="47"/>
      <c r="F916" s="47"/>
      <c r="EH916" s="3"/>
      <c r="GS916" s="3"/>
      <c r="GT916" s="4"/>
      <c r="GU916" s="4"/>
      <c r="GV916" s="4"/>
      <c r="GW916" s="4"/>
      <c r="GX916" s="4"/>
      <c r="GY916" s="4"/>
      <c r="GZ916" s="4"/>
      <c r="HA916" s="4"/>
      <c r="IV916" s="120"/>
    </row>
    <row r="917" spans="1:256" ht="21" hidden="1" customHeight="1" x14ac:dyDescent="0.2">
      <c r="A917" s="118"/>
      <c r="B917" s="44"/>
      <c r="C917" s="119"/>
      <c r="D917" s="412"/>
      <c r="E917" s="47"/>
      <c r="F917" s="47"/>
      <c r="EH917" s="3"/>
      <c r="GS917" s="3"/>
      <c r="GT917" s="4"/>
      <c r="GU917" s="4"/>
      <c r="GV917" s="4"/>
      <c r="GW917" s="4"/>
      <c r="GX917" s="4"/>
      <c r="GY917" s="4"/>
      <c r="GZ917" s="4"/>
      <c r="HA917" s="4"/>
      <c r="IV917" s="120"/>
    </row>
    <row r="918" spans="1:256" ht="24.75" hidden="1" customHeight="1" x14ac:dyDescent="0.2">
      <c r="A918" s="118"/>
      <c r="B918" s="44"/>
      <c r="C918" s="119"/>
      <c r="D918" s="412"/>
      <c r="E918" s="47"/>
      <c r="F918" s="47"/>
      <c r="EH918" s="3"/>
      <c r="GS918" s="3"/>
      <c r="GT918" s="4"/>
      <c r="GU918" s="4"/>
      <c r="GV918" s="4"/>
      <c r="GW918" s="4"/>
      <c r="GX918" s="4"/>
      <c r="GY918" s="4"/>
      <c r="GZ918" s="4"/>
      <c r="HA918" s="4"/>
      <c r="IV918" s="120"/>
    </row>
    <row r="919" spans="1:256" ht="24.75" hidden="1" customHeight="1" x14ac:dyDescent="0.2">
      <c r="A919" s="118"/>
      <c r="B919" s="44"/>
      <c r="C919" s="119"/>
      <c r="D919" s="412"/>
      <c r="E919" s="47"/>
      <c r="F919" s="47"/>
      <c r="EH919" s="3"/>
      <c r="GS919" s="3"/>
      <c r="GT919" s="4"/>
      <c r="GU919" s="4"/>
      <c r="GV919" s="4"/>
      <c r="GW919" s="4"/>
      <c r="GX919" s="4"/>
      <c r="GY919" s="4"/>
      <c r="GZ919" s="4"/>
      <c r="HA919" s="4"/>
      <c r="IV919" s="120"/>
    </row>
    <row r="920" spans="1:256" ht="3.75" customHeight="1" x14ac:dyDescent="0.2">
      <c r="A920" s="118"/>
      <c r="B920" s="44"/>
      <c r="C920" s="119"/>
      <c r="D920" s="412"/>
      <c r="E920" s="47"/>
      <c r="F920" s="47"/>
      <c r="EH920" s="3"/>
      <c r="GS920" s="3"/>
      <c r="GT920" s="4"/>
      <c r="GU920" s="4"/>
      <c r="GV920" s="4"/>
      <c r="GW920" s="4"/>
      <c r="GX920" s="4"/>
      <c r="GY920" s="4"/>
      <c r="GZ920" s="4"/>
      <c r="HA920" s="4"/>
      <c r="IV920" s="120"/>
    </row>
    <row r="921" spans="1:256" ht="17.25" customHeight="1" x14ac:dyDescent="0.2">
      <c r="A921" s="118"/>
      <c r="B921" s="44"/>
      <c r="C921" s="119"/>
      <c r="D921" s="412"/>
      <c r="E921" s="47"/>
      <c r="F921" s="47"/>
      <c r="EH921" s="3"/>
      <c r="GS921" s="3"/>
      <c r="GT921" s="4"/>
      <c r="GU921" s="4"/>
      <c r="GV921" s="4"/>
      <c r="GW921" s="4"/>
      <c r="GX921" s="4"/>
      <c r="GY921" s="4"/>
      <c r="GZ921" s="4"/>
      <c r="HA921" s="4"/>
      <c r="IV921" s="120"/>
    </row>
    <row r="922" spans="1:256" ht="27.75" customHeight="1" x14ac:dyDescent="0.2">
      <c r="A922" s="448" t="s">
        <v>2034</v>
      </c>
      <c r="B922" s="448"/>
      <c r="C922" s="448"/>
      <c r="D922" s="448"/>
      <c r="E922" s="448"/>
      <c r="F922" s="448"/>
      <c r="G922" s="448"/>
      <c r="EH922" s="3"/>
      <c r="GS922" s="3"/>
      <c r="GT922" s="4"/>
      <c r="GU922" s="4"/>
      <c r="GV922" s="4"/>
      <c r="GW922" s="4"/>
      <c r="GX922" s="4"/>
      <c r="GY922" s="4"/>
      <c r="GZ922" s="4"/>
      <c r="HA922" s="4"/>
    </row>
    <row r="923" spans="1:256" ht="9" customHeight="1" x14ac:dyDescent="0.2">
      <c r="A923" s="400"/>
      <c r="B923" s="400"/>
      <c r="C923" s="400"/>
      <c r="D923" s="400"/>
      <c r="E923" s="400"/>
      <c r="F923" s="400"/>
      <c r="G923" s="400"/>
      <c r="EH923" s="3"/>
      <c r="GS923" s="3"/>
      <c r="GT923" s="4"/>
      <c r="GU923" s="4"/>
      <c r="GV923" s="4"/>
      <c r="GW923" s="4"/>
      <c r="GX923" s="4"/>
      <c r="GY923" s="4"/>
      <c r="GZ923" s="4"/>
      <c r="HA923" s="4"/>
    </row>
    <row r="924" spans="1:256" ht="67.5" customHeight="1" x14ac:dyDescent="0.2">
      <c r="A924" s="396" t="s">
        <v>1020</v>
      </c>
      <c r="B924" s="386" t="s">
        <v>1021</v>
      </c>
      <c r="C924" s="386" t="s">
        <v>9</v>
      </c>
      <c r="D924" s="386" t="s">
        <v>10</v>
      </c>
      <c r="E924" s="386" t="s">
        <v>1022</v>
      </c>
      <c r="F924" s="386" t="s">
        <v>1023</v>
      </c>
      <c r="EH924" s="3"/>
      <c r="GS924" s="3"/>
      <c r="GT924" s="4"/>
      <c r="GU924" s="4"/>
      <c r="GV924" s="4"/>
      <c r="GW924" s="4"/>
      <c r="GX924" s="4"/>
      <c r="GY924" s="4"/>
      <c r="GZ924" s="4"/>
      <c r="HA924" s="4"/>
    </row>
    <row r="925" spans="1:256" ht="15.75" x14ac:dyDescent="0.2">
      <c r="A925" s="396">
        <v>1</v>
      </c>
      <c r="B925" s="386">
        <v>2</v>
      </c>
      <c r="C925" s="386">
        <v>3</v>
      </c>
      <c r="D925" s="386">
        <v>4</v>
      </c>
      <c r="E925" s="386">
        <v>5</v>
      </c>
      <c r="F925" s="386">
        <v>6</v>
      </c>
      <c r="EH925" s="3"/>
      <c r="GS925" s="3"/>
      <c r="GT925" s="4"/>
      <c r="GU925" s="4"/>
      <c r="GV925" s="4"/>
      <c r="GW925" s="4"/>
      <c r="GX925" s="4"/>
      <c r="GY925" s="4"/>
      <c r="GZ925" s="4"/>
      <c r="HA925" s="4"/>
    </row>
    <row r="926" spans="1:256" ht="31.5" x14ac:dyDescent="0.2">
      <c r="A926" s="121" t="s">
        <v>14</v>
      </c>
      <c r="B926" s="397" t="s">
        <v>1025</v>
      </c>
      <c r="C926" s="122" t="s">
        <v>1026</v>
      </c>
      <c r="D926" s="389">
        <f>114.95*1.05</f>
        <v>120.7</v>
      </c>
      <c r="E926" s="14">
        <f>D926*20%</f>
        <v>24.14</v>
      </c>
      <c r="F926" s="97">
        <f>D926+E926</f>
        <v>144.84</v>
      </c>
      <c r="EH926" s="3"/>
      <c r="GS926" s="3"/>
      <c r="GT926" s="4"/>
      <c r="GU926" s="4"/>
      <c r="GV926" s="4"/>
      <c r="GW926" s="4"/>
      <c r="GX926" s="4"/>
      <c r="GY926" s="4"/>
      <c r="GZ926" s="4"/>
      <c r="HA926" s="4"/>
      <c r="IU926" s="72">
        <f>105.77*1.04</f>
        <v>110</v>
      </c>
      <c r="IV926" s="123">
        <f>110*1.045</f>
        <v>114.95</v>
      </c>
    </row>
    <row r="927" spans="1:256" ht="15.75" x14ac:dyDescent="0.25">
      <c r="A927" s="121" t="s">
        <v>26</v>
      </c>
      <c r="B927" s="449" t="s">
        <v>1028</v>
      </c>
      <c r="C927" s="449"/>
      <c r="D927" s="449"/>
      <c r="E927" s="449"/>
      <c r="F927" s="449"/>
      <c r="EH927" s="3"/>
      <c r="GS927" s="3"/>
      <c r="GT927" s="4"/>
      <c r="GU927" s="4"/>
      <c r="GV927" s="4"/>
      <c r="GW927" s="4"/>
      <c r="GX927" s="4"/>
      <c r="GY927" s="4"/>
      <c r="GZ927" s="4"/>
      <c r="HA927" s="4"/>
    </row>
    <row r="928" spans="1:256" ht="18.75" customHeight="1" x14ac:dyDescent="0.25">
      <c r="A928" s="124" t="s">
        <v>563</v>
      </c>
      <c r="B928" s="125" t="s">
        <v>1030</v>
      </c>
      <c r="C928" s="122" t="s">
        <v>1026</v>
      </c>
      <c r="D928" s="389">
        <f>15.66*1.05</f>
        <v>16.440000000000001</v>
      </c>
      <c r="E928" s="14">
        <f>D928*20%</f>
        <v>3.29</v>
      </c>
      <c r="F928" s="97">
        <f>D928+E928</f>
        <v>19.73</v>
      </c>
      <c r="EH928" s="3"/>
      <c r="GS928" s="3"/>
      <c r="GT928" s="4"/>
      <c r="GU928" s="4"/>
      <c r="GV928" s="4"/>
      <c r="GW928" s="4"/>
      <c r="GX928" s="4"/>
      <c r="GY928" s="4"/>
      <c r="GZ928" s="4"/>
      <c r="HA928" s="4"/>
      <c r="IU928" s="359">
        <f>14.41*1.04</f>
        <v>14.99</v>
      </c>
      <c r="IV928" s="123">
        <f>14.99*1.045</f>
        <v>15.66</v>
      </c>
    </row>
    <row r="929" spans="1:256" ht="47.25" x14ac:dyDescent="0.2">
      <c r="A929" s="126" t="s">
        <v>565</v>
      </c>
      <c r="B929" s="381" t="s">
        <v>1032</v>
      </c>
      <c r="C929" s="122" t="s">
        <v>1026</v>
      </c>
      <c r="D929" s="389">
        <f>312.12*1.05</f>
        <v>327.73</v>
      </c>
      <c r="E929" s="14">
        <f>D929*20%</f>
        <v>65.55</v>
      </c>
      <c r="F929" s="97">
        <f>D929+E929</f>
        <v>393.28</v>
      </c>
      <c r="EH929" s="3"/>
      <c r="GS929" s="3"/>
      <c r="GT929" s="4"/>
      <c r="GU929" s="4"/>
      <c r="GV929" s="4"/>
      <c r="GW929" s="4"/>
      <c r="GX929" s="4"/>
      <c r="GY929" s="4"/>
      <c r="GZ929" s="4"/>
      <c r="HA929" s="4"/>
      <c r="IU929" s="359">
        <f>287.19*1.04</f>
        <v>298.68</v>
      </c>
      <c r="IV929" s="123">
        <f>298.68*1.045</f>
        <v>312.12</v>
      </c>
    </row>
    <row r="930" spans="1:256" ht="21" customHeight="1" x14ac:dyDescent="0.2">
      <c r="A930" s="126" t="s">
        <v>567</v>
      </c>
      <c r="B930" s="381" t="s">
        <v>1034</v>
      </c>
      <c r="C930" s="122" t="s">
        <v>1026</v>
      </c>
      <c r="D930" s="389">
        <f>51.83*1.05</f>
        <v>54.42</v>
      </c>
      <c r="E930" s="14">
        <f>D930*20%</f>
        <v>10.88</v>
      </c>
      <c r="F930" s="97">
        <f>D930+E930</f>
        <v>65.3</v>
      </c>
      <c r="EH930" s="3"/>
      <c r="GS930" s="3"/>
      <c r="GT930" s="4"/>
      <c r="GU930" s="4"/>
      <c r="GV930" s="4"/>
      <c r="GW930" s="4"/>
      <c r="GX930" s="4"/>
      <c r="GY930" s="4"/>
      <c r="GZ930" s="4"/>
      <c r="HA930" s="4"/>
      <c r="IU930" s="359">
        <f>47.69*1.04</f>
        <v>49.6</v>
      </c>
      <c r="IV930" s="123">
        <f>49.6*1.045</f>
        <v>51.83</v>
      </c>
    </row>
    <row r="931" spans="1:256" ht="19.5" customHeight="1" x14ac:dyDescent="0.2">
      <c r="A931" s="126" t="s">
        <v>569</v>
      </c>
      <c r="B931" s="381" t="s">
        <v>1036</v>
      </c>
      <c r="C931" s="122" t="s">
        <v>1026</v>
      </c>
      <c r="D931" s="389">
        <f>102.41*1.05</f>
        <v>107.53</v>
      </c>
      <c r="E931" s="14">
        <f>D931*20%</f>
        <v>21.51</v>
      </c>
      <c r="F931" s="97">
        <f>D931+E931</f>
        <v>129.04</v>
      </c>
      <c r="EH931" s="3"/>
      <c r="GS931" s="3"/>
      <c r="GT931" s="4"/>
      <c r="GU931" s="4"/>
      <c r="GV931" s="4"/>
      <c r="GW931" s="4"/>
      <c r="GX931" s="4"/>
      <c r="GY931" s="4"/>
      <c r="GZ931" s="4"/>
      <c r="HA931" s="4"/>
      <c r="IU931" s="359">
        <f>94.23*1.04</f>
        <v>98</v>
      </c>
      <c r="IV931" s="123">
        <f>98*1.045</f>
        <v>102.41</v>
      </c>
    </row>
    <row r="932" spans="1:256" ht="15.75" x14ac:dyDescent="0.2">
      <c r="A932" s="121" t="s">
        <v>29</v>
      </c>
      <c r="B932" s="430" t="s">
        <v>1038</v>
      </c>
      <c r="C932" s="430"/>
      <c r="D932" s="430"/>
      <c r="E932" s="430"/>
      <c r="F932" s="430"/>
      <c r="EH932" s="3"/>
      <c r="GS932" s="3"/>
      <c r="GT932" s="4"/>
      <c r="GU932" s="4"/>
      <c r="GV932" s="4"/>
      <c r="GW932" s="4"/>
      <c r="GX932" s="4"/>
      <c r="GY932" s="4"/>
      <c r="GZ932" s="4"/>
      <c r="HA932" s="4"/>
    </row>
    <row r="933" spans="1:256" ht="15.75" x14ac:dyDescent="0.25">
      <c r="A933" s="126" t="s">
        <v>578</v>
      </c>
      <c r="B933" s="125" t="s">
        <v>1040</v>
      </c>
      <c r="C933" s="122" t="s">
        <v>1026</v>
      </c>
      <c r="D933" s="389">
        <f>36.4*1.05</f>
        <v>38.22</v>
      </c>
      <c r="E933" s="14">
        <f>D933*20%</f>
        <v>7.64</v>
      </c>
      <c r="F933" s="97">
        <f>D933+E933</f>
        <v>45.86</v>
      </c>
      <c r="EH933" s="3"/>
      <c r="GS933" s="3"/>
      <c r="GT933" s="4"/>
      <c r="GU933" s="4"/>
      <c r="GV933" s="4"/>
      <c r="GW933" s="4"/>
      <c r="GX933" s="4"/>
      <c r="GY933" s="4"/>
      <c r="GZ933" s="4"/>
      <c r="HA933" s="4"/>
      <c r="IU933" s="359">
        <f>6.88*1.04</f>
        <v>7.16</v>
      </c>
      <c r="IV933" s="123">
        <f>7.16*1.045</f>
        <v>7.48</v>
      </c>
    </row>
    <row r="934" spans="1:256" ht="15.75" x14ac:dyDescent="0.25">
      <c r="A934" s="126" t="s">
        <v>580</v>
      </c>
      <c r="B934" s="125" t="s">
        <v>1042</v>
      </c>
      <c r="C934" s="122" t="s">
        <v>1026</v>
      </c>
      <c r="D934" s="389">
        <f>36.58*1.05</f>
        <v>38.409999999999997</v>
      </c>
      <c r="E934" s="14">
        <f>D934*20%</f>
        <v>7.68</v>
      </c>
      <c r="F934" s="97">
        <f>D934+E934</f>
        <v>46.09</v>
      </c>
      <c r="EH934" s="3"/>
      <c r="GS934" s="3"/>
      <c r="GT934" s="4"/>
      <c r="GU934" s="4"/>
      <c r="GV934" s="4"/>
      <c r="GW934" s="4"/>
      <c r="GX934" s="4"/>
      <c r="GY934" s="4"/>
      <c r="GZ934" s="4"/>
      <c r="HA934" s="4"/>
      <c r="IU934" s="359">
        <f>33.65*1.04</f>
        <v>35</v>
      </c>
      <c r="IV934" s="123">
        <f>35*1.045</f>
        <v>36.58</v>
      </c>
    </row>
    <row r="935" spans="1:256" ht="18" customHeight="1" x14ac:dyDescent="0.25">
      <c r="A935" s="126" t="s">
        <v>582</v>
      </c>
      <c r="B935" s="125" t="s">
        <v>1044</v>
      </c>
      <c r="C935" s="122" t="s">
        <v>1026</v>
      </c>
      <c r="D935" s="389">
        <f>46.37*1.05</f>
        <v>48.69</v>
      </c>
      <c r="E935" s="14">
        <f>D935*20%</f>
        <v>9.74</v>
      </c>
      <c r="F935" s="97">
        <f>D935+E935</f>
        <v>58.43</v>
      </c>
      <c r="EH935" s="3"/>
      <c r="GS935" s="3"/>
      <c r="GT935" s="4"/>
      <c r="GU935" s="4"/>
      <c r="GV935" s="4"/>
      <c r="GW935" s="4"/>
      <c r="GX935" s="4"/>
      <c r="GY935" s="4"/>
      <c r="GZ935" s="4"/>
      <c r="HA935" s="4"/>
      <c r="IU935" s="359">
        <f>42.66*1.04</f>
        <v>44.37</v>
      </c>
      <c r="IV935" s="123">
        <f>44.37*1.045</f>
        <v>46.37</v>
      </c>
    </row>
    <row r="936" spans="1:256" ht="15.75" customHeight="1" x14ac:dyDescent="0.2">
      <c r="A936" s="121" t="s">
        <v>31</v>
      </c>
      <c r="B936" s="430" t="s">
        <v>1046</v>
      </c>
      <c r="C936" s="430"/>
      <c r="D936" s="430"/>
      <c r="E936" s="430"/>
      <c r="F936" s="430"/>
      <c r="EH936" s="3"/>
      <c r="GS936" s="3"/>
      <c r="GT936" s="4"/>
      <c r="GU936" s="4"/>
      <c r="GV936" s="4"/>
      <c r="GW936" s="4"/>
      <c r="GX936" s="4"/>
      <c r="GY936" s="4"/>
      <c r="GZ936" s="4"/>
      <c r="HA936" s="4"/>
    </row>
    <row r="937" spans="1:256" ht="15.75" x14ac:dyDescent="0.2">
      <c r="A937" s="126" t="s">
        <v>627</v>
      </c>
      <c r="B937" s="381" t="s">
        <v>1048</v>
      </c>
      <c r="C937" s="122" t="s">
        <v>1026</v>
      </c>
      <c r="D937" s="389">
        <f>50.37*1.05</f>
        <v>52.89</v>
      </c>
      <c r="E937" s="14">
        <f>D937*20%</f>
        <v>10.58</v>
      </c>
      <c r="F937" s="97">
        <f>D937+E937</f>
        <v>63.47</v>
      </c>
      <c r="EH937" s="3"/>
      <c r="GS937" s="3"/>
      <c r="GT937" s="4"/>
      <c r="GU937" s="4"/>
      <c r="GV937" s="4"/>
      <c r="GW937" s="4"/>
      <c r="GX937" s="4"/>
      <c r="GY937" s="4"/>
      <c r="GZ937" s="4"/>
      <c r="HA937" s="4"/>
      <c r="IU937" s="359">
        <f>13.93*1.04</f>
        <v>14.49</v>
      </c>
      <c r="IV937" s="123">
        <f>14.49*1.045</f>
        <v>15.14</v>
      </c>
    </row>
    <row r="938" spans="1:256" ht="21" customHeight="1" x14ac:dyDescent="0.2">
      <c r="A938" s="126" t="s">
        <v>628</v>
      </c>
      <c r="B938" s="381" t="s">
        <v>1050</v>
      </c>
      <c r="C938" s="122" t="s">
        <v>1026</v>
      </c>
      <c r="D938" s="389">
        <f>50.37*1.05</f>
        <v>52.89</v>
      </c>
      <c r="E938" s="14">
        <f>D938*20%</f>
        <v>10.58</v>
      </c>
      <c r="F938" s="97">
        <f>D938+E938</f>
        <v>63.47</v>
      </c>
      <c r="EH938" s="3"/>
      <c r="GS938" s="3"/>
      <c r="GT938" s="4"/>
      <c r="GU938" s="4"/>
      <c r="GV938" s="4"/>
      <c r="GW938" s="4"/>
      <c r="GX938" s="4"/>
      <c r="GY938" s="4"/>
      <c r="GZ938" s="4"/>
      <c r="HA938" s="4"/>
      <c r="IU938" s="359">
        <f>13.93*1.04</f>
        <v>14.49</v>
      </c>
      <c r="IV938" s="123">
        <f>14.49*1.045</f>
        <v>15.14</v>
      </c>
    </row>
    <row r="939" spans="1:256" ht="20.25" customHeight="1" x14ac:dyDescent="0.2">
      <c r="A939" s="121" t="s">
        <v>33</v>
      </c>
      <c r="B939" s="430" t="s">
        <v>1051</v>
      </c>
      <c r="C939" s="430"/>
      <c r="D939" s="430"/>
      <c r="E939" s="430"/>
      <c r="F939" s="430"/>
      <c r="EH939" s="3"/>
      <c r="GS939" s="3"/>
      <c r="GT939" s="4"/>
      <c r="GU939" s="4"/>
      <c r="GV939" s="4"/>
      <c r="GW939" s="4"/>
      <c r="GX939" s="4"/>
      <c r="GY939" s="4"/>
      <c r="GZ939" s="4"/>
      <c r="HA939" s="4"/>
    </row>
    <row r="940" spans="1:256" ht="15.75" x14ac:dyDescent="0.2">
      <c r="A940" s="126" t="s">
        <v>639</v>
      </c>
      <c r="B940" s="381" t="s">
        <v>1052</v>
      </c>
      <c r="C940" s="122" t="s">
        <v>1053</v>
      </c>
      <c r="D940" s="389">
        <f>225.47*1.05</f>
        <v>236.74</v>
      </c>
      <c r="E940" s="14">
        <f t="shared" ref="E940:E946" si="87">D940*20%</f>
        <v>47.35</v>
      </c>
      <c r="F940" s="97">
        <f t="shared" ref="F940:F945" si="88">D940+E940</f>
        <v>284.08999999999997</v>
      </c>
      <c r="EH940" s="3" t="s">
        <v>1054</v>
      </c>
      <c r="GS940" s="3"/>
      <c r="GT940" s="4"/>
      <c r="GU940" s="4"/>
      <c r="GV940" s="4"/>
      <c r="GW940" s="4"/>
      <c r="GX940" s="4"/>
      <c r="GY940" s="4"/>
      <c r="GZ940" s="4"/>
      <c r="HA940" s="4"/>
    </row>
    <row r="941" spans="1:256" ht="15.75" x14ac:dyDescent="0.2">
      <c r="A941" s="126" t="s">
        <v>640</v>
      </c>
      <c r="B941" s="381" t="s">
        <v>1056</v>
      </c>
      <c r="C941" s="122" t="s">
        <v>1057</v>
      </c>
      <c r="D941" s="389">
        <f>264.49*1.05</f>
        <v>277.70999999999998</v>
      </c>
      <c r="E941" s="14">
        <f t="shared" si="87"/>
        <v>55.54</v>
      </c>
      <c r="F941" s="97">
        <f t="shared" si="88"/>
        <v>333.25</v>
      </c>
      <c r="EH941" s="3"/>
      <c r="GS941" s="3"/>
      <c r="GT941" s="4"/>
      <c r="GU941" s="4"/>
      <c r="GV941" s="4"/>
      <c r="GW941" s="4"/>
      <c r="GX941" s="4"/>
      <c r="GY941" s="4"/>
      <c r="GZ941" s="4"/>
      <c r="HA941" s="4"/>
      <c r="HM941">
        <v>312.10000000000002</v>
      </c>
      <c r="IT941">
        <f>HM941/1.18</f>
        <v>264.491525423729</v>
      </c>
      <c r="IU941" s="359">
        <f>147.54*1.04</f>
        <v>153.44</v>
      </c>
      <c r="IV941" s="123">
        <f>153.44*1.045</f>
        <v>160.34</v>
      </c>
    </row>
    <row r="942" spans="1:256" ht="15.75" x14ac:dyDescent="0.2">
      <c r="A942" s="126" t="s">
        <v>641</v>
      </c>
      <c r="B942" s="381" t="s">
        <v>1059</v>
      </c>
      <c r="C942" s="122" t="s">
        <v>1053</v>
      </c>
      <c r="D942" s="389">
        <f>110.79*1.05</f>
        <v>116.33</v>
      </c>
      <c r="E942" s="14">
        <f t="shared" si="87"/>
        <v>23.27</v>
      </c>
      <c r="F942" s="97">
        <f t="shared" si="88"/>
        <v>139.6</v>
      </c>
      <c r="EH942" s="3"/>
      <c r="GS942" s="3"/>
      <c r="GT942" s="4"/>
      <c r="GU942" s="4"/>
      <c r="GV942" s="4"/>
      <c r="GW942" s="4"/>
      <c r="GX942" s="4"/>
      <c r="GY942" s="4"/>
      <c r="GZ942" s="4"/>
      <c r="HA942" s="4"/>
      <c r="IU942" s="359">
        <f>101.94*1.04</f>
        <v>106.02</v>
      </c>
      <c r="IV942" s="123">
        <f>106.02*1.045</f>
        <v>110.79</v>
      </c>
    </row>
    <row r="943" spans="1:256" ht="15.75" x14ac:dyDescent="0.2">
      <c r="A943" s="126" t="s">
        <v>642</v>
      </c>
      <c r="B943" s="381" t="s">
        <v>1060</v>
      </c>
      <c r="C943" s="122" t="s">
        <v>1053</v>
      </c>
      <c r="D943" s="389">
        <f>319.62*1.05</f>
        <v>335.6</v>
      </c>
      <c r="E943" s="14">
        <f t="shared" si="87"/>
        <v>67.12</v>
      </c>
      <c r="F943" s="97">
        <f>D943+E943</f>
        <v>402.72</v>
      </c>
      <c r="EH943" s="3"/>
      <c r="GS943" s="3"/>
      <c r="GT943" s="4"/>
      <c r="GU943" s="4"/>
      <c r="GV943" s="4"/>
      <c r="GW943" s="4"/>
      <c r="GX943" s="4"/>
      <c r="GY943" s="4"/>
      <c r="GZ943" s="4"/>
      <c r="HA943" s="4"/>
    </row>
    <row r="944" spans="1:256" ht="15.75" x14ac:dyDescent="0.2">
      <c r="A944" s="126" t="s">
        <v>644</v>
      </c>
      <c r="B944" s="381" t="s">
        <v>1050</v>
      </c>
      <c r="C944" s="122" t="s">
        <v>1053</v>
      </c>
      <c r="D944" s="389">
        <f>116.61*1.05</f>
        <v>122.44</v>
      </c>
      <c r="E944" s="14">
        <f t="shared" si="87"/>
        <v>24.49</v>
      </c>
      <c r="F944" s="97">
        <f>D944+E944</f>
        <v>146.93</v>
      </c>
      <c r="EH944" s="3"/>
      <c r="GS944" s="3"/>
      <c r="GT944" s="4"/>
      <c r="GU944" s="4"/>
      <c r="GV944" s="4"/>
      <c r="GW944" s="4"/>
      <c r="GX944" s="4"/>
      <c r="GY944" s="4"/>
      <c r="GZ944" s="4"/>
      <c r="HA944" s="4"/>
      <c r="HM944">
        <v>137.6</v>
      </c>
      <c r="IT944">
        <f>HM944/1.18</f>
        <v>116.610169491525</v>
      </c>
      <c r="IU944" s="359">
        <f>55.09*1.04</f>
        <v>57.29</v>
      </c>
      <c r="IV944" s="123">
        <f>57.29*1.045</f>
        <v>59.87</v>
      </c>
    </row>
    <row r="945" spans="1:256" ht="15.75" x14ac:dyDescent="0.2">
      <c r="A945" s="126" t="s">
        <v>646</v>
      </c>
      <c r="B945" s="381" t="s">
        <v>1063</v>
      </c>
      <c r="C945" s="122" t="s">
        <v>1064</v>
      </c>
      <c r="D945" s="389">
        <f>132.63*1.05</f>
        <v>139.26</v>
      </c>
      <c r="E945" s="14">
        <f t="shared" si="87"/>
        <v>27.85</v>
      </c>
      <c r="F945" s="97">
        <f t="shared" si="88"/>
        <v>167.11</v>
      </c>
      <c r="EH945" s="3"/>
      <c r="GS945" s="3"/>
      <c r="GT945" s="4"/>
      <c r="GU945" s="4"/>
      <c r="GV945" s="4"/>
      <c r="GW945" s="4"/>
      <c r="GX945" s="4"/>
      <c r="GY945" s="4"/>
      <c r="GZ945" s="4"/>
      <c r="HA945" s="4"/>
      <c r="IU945" s="359">
        <f>122.04*1.04</f>
        <v>126.92</v>
      </c>
      <c r="IV945" s="123">
        <f>126.92*1.045</f>
        <v>132.63</v>
      </c>
    </row>
    <row r="946" spans="1:256" ht="52.5" customHeight="1" x14ac:dyDescent="0.2">
      <c r="A946" s="121" t="s">
        <v>35</v>
      </c>
      <c r="B946" s="127" t="s">
        <v>1065</v>
      </c>
      <c r="C946" s="122" t="s">
        <v>1053</v>
      </c>
      <c r="D946" s="389">
        <f>215.49*1.05</f>
        <v>226.26</v>
      </c>
      <c r="E946" s="14">
        <f t="shared" si="87"/>
        <v>45.25</v>
      </c>
      <c r="F946" s="97">
        <f>D946+E946</f>
        <v>271.51</v>
      </c>
      <c r="EH946" s="3"/>
      <c r="GS946" s="3"/>
      <c r="GT946" s="4"/>
      <c r="GU946" s="4"/>
      <c r="GV946" s="4"/>
      <c r="GW946" s="4"/>
      <c r="GX946" s="4"/>
      <c r="GY946" s="4"/>
      <c r="GZ946" s="4"/>
      <c r="HA946" s="4"/>
    </row>
    <row r="947" spans="1:256" ht="19.5" customHeight="1" x14ac:dyDescent="0.2">
      <c r="A947" s="121" t="s">
        <v>37</v>
      </c>
      <c r="B947" s="430" t="s">
        <v>1066</v>
      </c>
      <c r="C947" s="430"/>
      <c r="D947" s="430"/>
      <c r="E947" s="430"/>
      <c r="F947" s="430"/>
      <c r="EH947" s="3"/>
      <c r="GS947" s="3"/>
      <c r="GT947" s="4"/>
      <c r="GU947" s="4"/>
      <c r="GV947" s="4"/>
      <c r="GW947" s="4"/>
      <c r="GX947" s="4"/>
      <c r="GY947" s="4"/>
      <c r="GZ947" s="4"/>
      <c r="HA947" s="4"/>
    </row>
    <row r="948" spans="1:256" ht="15.75" x14ac:dyDescent="0.25">
      <c r="A948" s="126" t="s">
        <v>679</v>
      </c>
      <c r="B948" s="125" t="s">
        <v>1067</v>
      </c>
      <c r="C948" s="122" t="s">
        <v>1053</v>
      </c>
      <c r="D948" s="389">
        <f>52.38*1.05</f>
        <v>55</v>
      </c>
      <c r="E948" s="14">
        <f>D948*20%</f>
        <v>11</v>
      </c>
      <c r="F948" s="97">
        <f>D948+E948</f>
        <v>66</v>
      </c>
      <c r="EH948" s="3"/>
      <c r="GS948" s="3"/>
      <c r="GT948" s="4"/>
      <c r="GU948" s="4"/>
      <c r="GV948" s="4"/>
      <c r="GW948" s="4"/>
      <c r="GX948" s="4"/>
      <c r="GY948" s="4"/>
      <c r="GZ948" s="4"/>
      <c r="HA948" s="4"/>
      <c r="IU948" s="359">
        <f>48.19*1.04</f>
        <v>50.12</v>
      </c>
      <c r="IV948" s="123">
        <f>50.12*1.045</f>
        <v>52.38</v>
      </c>
    </row>
    <row r="949" spans="1:256" ht="15.75" x14ac:dyDescent="0.25">
      <c r="A949" s="126" t="s">
        <v>680</v>
      </c>
      <c r="B949" s="125" t="s">
        <v>1050</v>
      </c>
      <c r="C949" s="122" t="s">
        <v>1053</v>
      </c>
      <c r="D949" s="389">
        <f>138.07*1.05</f>
        <v>144.97</v>
      </c>
      <c r="E949" s="14">
        <f>D949*20%</f>
        <v>28.99</v>
      </c>
      <c r="F949" s="97">
        <f>D949+E949</f>
        <v>173.96</v>
      </c>
      <c r="EH949" s="3"/>
      <c r="GS949" s="3"/>
      <c r="GT949" s="4"/>
      <c r="GU949" s="4"/>
      <c r="GV949" s="4"/>
      <c r="GW949" s="4"/>
      <c r="GX949" s="4"/>
      <c r="GY949" s="4"/>
      <c r="GZ949" s="4"/>
      <c r="HA949" s="4"/>
      <c r="IU949" s="359">
        <f>127.04*1.04</f>
        <v>132.12</v>
      </c>
      <c r="IV949" s="123">
        <f>132.12*1.045</f>
        <v>138.07</v>
      </c>
    </row>
    <row r="950" spans="1:256" ht="15.75" x14ac:dyDescent="0.2">
      <c r="A950" s="126" t="s">
        <v>682</v>
      </c>
      <c r="B950" s="381" t="s">
        <v>1063</v>
      </c>
      <c r="C950" s="122" t="s">
        <v>1053</v>
      </c>
      <c r="D950" s="389">
        <f>124.62*1.05</f>
        <v>130.85</v>
      </c>
      <c r="E950" s="14">
        <f>D950*20%</f>
        <v>26.17</v>
      </c>
      <c r="F950" s="97">
        <f>D950+E950</f>
        <v>157.02000000000001</v>
      </c>
      <c r="EH950" s="3"/>
      <c r="GS950" s="3"/>
      <c r="GT950" s="4"/>
      <c r="GU950" s="4"/>
      <c r="GV950" s="4"/>
      <c r="GW950" s="4"/>
      <c r="GX950" s="4"/>
      <c r="GY950" s="4"/>
      <c r="GZ950" s="4"/>
      <c r="HA950" s="4"/>
      <c r="IU950" s="359">
        <f>114.66*1.04</f>
        <v>119.25</v>
      </c>
      <c r="IV950" s="123">
        <f>119.25*1.045</f>
        <v>124.62</v>
      </c>
    </row>
    <row r="951" spans="1:256" ht="31.5" x14ac:dyDescent="0.25">
      <c r="A951" s="121" t="s">
        <v>39</v>
      </c>
      <c r="B951" s="128" t="s">
        <v>1070</v>
      </c>
      <c r="C951" s="122" t="s">
        <v>1053</v>
      </c>
      <c r="D951" s="389">
        <f>129.21*1.05</f>
        <v>135.66999999999999</v>
      </c>
      <c r="E951" s="14">
        <f>D951*20%</f>
        <v>27.13</v>
      </c>
      <c r="F951" s="97">
        <f>D951+E951</f>
        <v>162.80000000000001</v>
      </c>
      <c r="EH951" s="3" t="s">
        <v>1054</v>
      </c>
      <c r="GS951" s="3"/>
      <c r="GT951" s="4"/>
      <c r="GU951" s="4"/>
      <c r="GV951" s="4"/>
      <c r="GW951" s="4"/>
      <c r="GX951" s="4"/>
      <c r="GY951" s="4"/>
      <c r="GZ951" s="4"/>
      <c r="HA951" s="4"/>
    </row>
    <row r="952" spans="1:256" s="129" customFormat="1" ht="35.25" customHeight="1" x14ac:dyDescent="0.2">
      <c r="A952" s="121" t="s">
        <v>41</v>
      </c>
      <c r="B952" s="397" t="s">
        <v>1071</v>
      </c>
      <c r="C952" s="122" t="s">
        <v>1053</v>
      </c>
      <c r="D952" s="389">
        <f>106.35*1.05</f>
        <v>111.67</v>
      </c>
      <c r="E952" s="14">
        <f>D952*20%</f>
        <v>22.33</v>
      </c>
      <c r="F952" s="97">
        <f>D952+E952</f>
        <v>134</v>
      </c>
      <c r="G952" s="3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EH952" s="130"/>
      <c r="GS952" s="130"/>
      <c r="GT952" s="131"/>
      <c r="GU952" s="131"/>
      <c r="GV952" s="131"/>
      <c r="GW952" s="131"/>
      <c r="GX952" s="131"/>
      <c r="GY952" s="131"/>
      <c r="GZ952" s="131"/>
      <c r="HA952" s="131"/>
    </row>
    <row r="953" spans="1:256" ht="15.75" x14ac:dyDescent="0.2">
      <c r="A953" s="121" t="s">
        <v>44</v>
      </c>
      <c r="B953" s="430" t="s">
        <v>1072</v>
      </c>
      <c r="C953" s="430"/>
      <c r="D953" s="430"/>
      <c r="E953" s="430"/>
      <c r="F953" s="430"/>
      <c r="EH953" s="3"/>
      <c r="GS953" s="3"/>
      <c r="GT953" s="4"/>
      <c r="GU953" s="4"/>
      <c r="GV953" s="4"/>
      <c r="GW953" s="4"/>
      <c r="GX953" s="4"/>
      <c r="GY953" s="4"/>
      <c r="GZ953" s="4"/>
      <c r="HA953" s="4"/>
    </row>
    <row r="954" spans="1:256" ht="15.75" x14ac:dyDescent="0.25">
      <c r="A954" s="126" t="s">
        <v>728</v>
      </c>
      <c r="B954" s="125" t="s">
        <v>1040</v>
      </c>
      <c r="C954" s="122" t="s">
        <v>1053</v>
      </c>
      <c r="D954" s="389">
        <f>15.14*1.05</f>
        <v>15.9</v>
      </c>
      <c r="E954" s="14">
        <f>D954*20%</f>
        <v>3.18</v>
      </c>
      <c r="F954" s="97">
        <f>D954+E954</f>
        <v>19.079999999999998</v>
      </c>
      <c r="EH954" s="3"/>
      <c r="GS954" s="3"/>
      <c r="GT954" s="4"/>
      <c r="GU954" s="4"/>
      <c r="GV954" s="4"/>
      <c r="GW954" s="4"/>
      <c r="GX954" s="4"/>
      <c r="GY954" s="4"/>
      <c r="GZ954" s="4"/>
      <c r="HA954" s="4"/>
      <c r="IU954" s="359">
        <f>13.93*1.04</f>
        <v>14.49</v>
      </c>
      <c r="IV954" s="123">
        <f>14.49*1.045</f>
        <v>15.14</v>
      </c>
    </row>
    <row r="955" spans="1:256" ht="15.75" x14ac:dyDescent="0.25">
      <c r="A955" s="126" t="s">
        <v>729</v>
      </c>
      <c r="B955" s="125" t="s">
        <v>1073</v>
      </c>
      <c r="C955" s="122" t="s">
        <v>1053</v>
      </c>
      <c r="D955" s="389">
        <f>29.44*1.05</f>
        <v>30.91</v>
      </c>
      <c r="E955" s="14">
        <f>D955*20%</f>
        <v>6.18</v>
      </c>
      <c r="F955" s="97">
        <f>D955+E955</f>
        <v>37.090000000000003</v>
      </c>
      <c r="EH955" s="3"/>
      <c r="GS955" s="3"/>
      <c r="GT955" s="4"/>
      <c r="GU955" s="4"/>
      <c r="GV955" s="4"/>
      <c r="GW955" s="4"/>
      <c r="GX955" s="4"/>
      <c r="GY955" s="4"/>
      <c r="GZ955" s="4"/>
      <c r="HA955" s="4"/>
      <c r="IU955" s="359">
        <f>27.09*1.04</f>
        <v>28.17</v>
      </c>
      <c r="IV955" s="123">
        <f>28.17*1.045</f>
        <v>29.44</v>
      </c>
    </row>
    <row r="956" spans="1:256" ht="15.75" x14ac:dyDescent="0.25">
      <c r="A956" s="126" t="s">
        <v>730</v>
      </c>
      <c r="B956" s="125" t="s">
        <v>1050</v>
      </c>
      <c r="C956" s="122" t="s">
        <v>1053</v>
      </c>
      <c r="D956" s="389">
        <f>30.04*1.05</f>
        <v>31.54</v>
      </c>
      <c r="E956" s="14">
        <f>D956*20%</f>
        <v>6.31</v>
      </c>
      <c r="F956" s="97">
        <f>D956+E956</f>
        <v>37.85</v>
      </c>
      <c r="EH956" s="3"/>
      <c r="GS956" s="3"/>
      <c r="GT956" s="4"/>
      <c r="GU956" s="4"/>
      <c r="GV956" s="4"/>
      <c r="GW956" s="4"/>
      <c r="GX956" s="4"/>
      <c r="GY956" s="4"/>
      <c r="GZ956" s="4"/>
      <c r="HA956" s="4"/>
      <c r="IU956" s="359">
        <f>27.64*1.04</f>
        <v>28.75</v>
      </c>
      <c r="IV956" s="123">
        <f>28.75*1.045</f>
        <v>30.04</v>
      </c>
    </row>
    <row r="957" spans="1:256" ht="15.75" x14ac:dyDescent="0.2">
      <c r="A957" s="121" t="s">
        <v>46</v>
      </c>
      <c r="B957" s="430" t="s">
        <v>1075</v>
      </c>
      <c r="C957" s="430"/>
      <c r="D957" s="430"/>
      <c r="E957" s="430"/>
      <c r="F957" s="430"/>
      <c r="EH957" s="3"/>
      <c r="GS957" s="3"/>
      <c r="GT957" s="4"/>
      <c r="GU957" s="4"/>
      <c r="GV957" s="4"/>
      <c r="GW957" s="4"/>
      <c r="GX957" s="4"/>
      <c r="GY957" s="4"/>
      <c r="GZ957" s="4"/>
      <c r="HA957" s="4"/>
    </row>
    <row r="958" spans="1:256" ht="15.75" x14ac:dyDescent="0.25">
      <c r="A958" s="126" t="s">
        <v>755</v>
      </c>
      <c r="B958" s="125" t="s">
        <v>1076</v>
      </c>
      <c r="C958" s="122" t="s">
        <v>1053</v>
      </c>
      <c r="D958" s="389">
        <f>601.87*1.05</f>
        <v>631.96</v>
      </c>
      <c r="E958" s="14">
        <f>D958*20%</f>
        <v>126.39</v>
      </c>
      <c r="F958" s="97">
        <f>D958+E958</f>
        <v>758.35</v>
      </c>
      <c r="EH958" s="3"/>
      <c r="GS958" s="3"/>
      <c r="GT958" s="4"/>
      <c r="GU958" s="4"/>
      <c r="GV958" s="4"/>
      <c r="GW958" s="4"/>
      <c r="GX958" s="4"/>
      <c r="GY958" s="4"/>
      <c r="GZ958" s="4"/>
      <c r="HA958" s="4"/>
      <c r="HM958">
        <v>710.2</v>
      </c>
      <c r="IT958">
        <f>HM958/1.18</f>
        <v>601.86440677966095</v>
      </c>
      <c r="IU958" s="359">
        <v>292.87</v>
      </c>
      <c r="IV958" s="123">
        <f>292.87*1.045</f>
        <v>306.05</v>
      </c>
    </row>
    <row r="959" spans="1:256" ht="15.75" x14ac:dyDescent="0.25">
      <c r="A959" s="126" t="s">
        <v>757</v>
      </c>
      <c r="B959" s="125" t="s">
        <v>1077</v>
      </c>
      <c r="C959" s="122" t="s">
        <v>1053</v>
      </c>
      <c r="D959" s="389">
        <f>528.3*1.05</f>
        <v>554.72</v>
      </c>
      <c r="E959" s="14">
        <f>D959*20%</f>
        <v>110.94</v>
      </c>
      <c r="F959" s="97">
        <f>D959+E959</f>
        <v>665.66</v>
      </c>
      <c r="EH959" s="3" t="s">
        <v>1054</v>
      </c>
      <c r="GS959" s="3"/>
      <c r="GT959" s="4"/>
      <c r="GU959" s="4"/>
      <c r="GV959" s="4"/>
      <c r="GW959" s="4"/>
      <c r="GX959" s="4"/>
      <c r="GY959" s="4"/>
      <c r="GZ959" s="4"/>
      <c r="HA959" s="4"/>
    </row>
    <row r="960" spans="1:256" ht="15.75" x14ac:dyDescent="0.25">
      <c r="A960" s="126" t="s">
        <v>759</v>
      </c>
      <c r="B960" s="125" t="s">
        <v>1078</v>
      </c>
      <c r="C960" s="122" t="s">
        <v>1053</v>
      </c>
      <c r="D960" s="389">
        <f>482.61*1.05</f>
        <v>506.74</v>
      </c>
      <c r="E960" s="14">
        <f>D960*20%</f>
        <v>101.35</v>
      </c>
      <c r="F960" s="97">
        <f>D960+E960</f>
        <v>608.09</v>
      </c>
      <c r="EH960" s="3"/>
      <c r="GS960" s="3"/>
      <c r="GT960" s="4"/>
      <c r="GU960" s="4"/>
      <c r="GV960" s="4"/>
      <c r="GW960" s="4"/>
      <c r="GX960" s="4"/>
      <c r="GY960" s="4"/>
      <c r="GZ960" s="4"/>
      <c r="HA960" s="4"/>
      <c r="IU960" s="359">
        <f>444.07*1.04</f>
        <v>461.83</v>
      </c>
      <c r="IV960" s="123">
        <f>461.83*1.045</f>
        <v>482.61</v>
      </c>
    </row>
    <row r="961" spans="1:256" ht="17.25" customHeight="1" x14ac:dyDescent="0.2">
      <c r="A961" s="132" t="s">
        <v>48</v>
      </c>
      <c r="B961" s="133" t="s">
        <v>2268</v>
      </c>
      <c r="C961" s="127"/>
      <c r="D961" s="127"/>
      <c r="E961" s="127"/>
      <c r="F961" s="127"/>
      <c r="EH961" s="3"/>
      <c r="GS961" s="3"/>
      <c r="GT961" s="4"/>
      <c r="GU961" s="4"/>
      <c r="GV961" s="4"/>
      <c r="GW961" s="4"/>
      <c r="GX961" s="4"/>
      <c r="GY961" s="4"/>
      <c r="GZ961" s="4"/>
      <c r="HA961" s="4"/>
    </row>
    <row r="962" spans="1:256" ht="15.75" x14ac:dyDescent="0.25">
      <c r="A962" s="126" t="s">
        <v>780</v>
      </c>
      <c r="B962" s="125" t="s">
        <v>1079</v>
      </c>
      <c r="C962" s="122" t="s">
        <v>1053</v>
      </c>
      <c r="D962" s="389">
        <f>32.65*1.05</f>
        <v>34.28</v>
      </c>
      <c r="E962" s="14">
        <f t="shared" ref="E962:E971" si="89">D962*20%</f>
        <v>6.86</v>
      </c>
      <c r="F962" s="97">
        <f>D962+E962</f>
        <v>41.14</v>
      </c>
      <c r="EH962" s="3" t="s">
        <v>1054</v>
      </c>
      <c r="GS962" s="3"/>
      <c r="GT962" s="4"/>
      <c r="GU962" s="4"/>
      <c r="GV962" s="4"/>
      <c r="GW962" s="4"/>
      <c r="GX962" s="4"/>
      <c r="GY962" s="4"/>
      <c r="GZ962" s="4"/>
      <c r="HA962" s="4"/>
      <c r="HM962">
        <v>38.53</v>
      </c>
      <c r="IT962" s="134">
        <f>HM962/1.18</f>
        <v>32.65</v>
      </c>
      <c r="IU962" s="359">
        <f>15.91*1.04</f>
        <v>16.55</v>
      </c>
      <c r="IV962" s="123">
        <f>16.55*1.045</f>
        <v>17.29</v>
      </c>
    </row>
    <row r="963" spans="1:256" ht="15.75" x14ac:dyDescent="0.25">
      <c r="A963" s="126" t="s">
        <v>782</v>
      </c>
      <c r="B963" s="125" t="s">
        <v>1080</v>
      </c>
      <c r="C963" s="122" t="s">
        <v>1053</v>
      </c>
      <c r="D963" s="389">
        <f>34.56*1.05</f>
        <v>36.29</v>
      </c>
      <c r="E963" s="14">
        <f t="shared" si="89"/>
        <v>7.26</v>
      </c>
      <c r="F963" s="97">
        <f>D963+E963</f>
        <v>43.55</v>
      </c>
      <c r="EH963" s="3"/>
      <c r="GS963" s="3"/>
      <c r="GT963" s="4"/>
      <c r="GU963" s="4"/>
      <c r="GV963" s="4"/>
      <c r="GW963" s="4"/>
      <c r="GX963" s="4"/>
      <c r="GY963" s="4"/>
      <c r="GZ963" s="4"/>
      <c r="HA963" s="4"/>
      <c r="HM963">
        <v>40.18</v>
      </c>
      <c r="IT963" s="134">
        <f>HM963/1.18</f>
        <v>34.049999999999997</v>
      </c>
      <c r="IU963" s="359">
        <f>3.4*1.04</f>
        <v>3.54</v>
      </c>
      <c r="IV963" s="123">
        <f>3.54*1.045</f>
        <v>3.7</v>
      </c>
    </row>
    <row r="964" spans="1:256" ht="15.75" x14ac:dyDescent="0.25">
      <c r="A964" s="126" t="s">
        <v>784</v>
      </c>
      <c r="B964" s="125" t="s">
        <v>1081</v>
      </c>
      <c r="C964" s="122" t="s">
        <v>1053</v>
      </c>
      <c r="D964" s="389">
        <f>173.23*1.05</f>
        <v>181.89</v>
      </c>
      <c r="E964" s="14">
        <f t="shared" si="89"/>
        <v>36.380000000000003</v>
      </c>
      <c r="F964" s="97">
        <f t="shared" ref="F964:F970" si="90">D964+E964</f>
        <v>218.27</v>
      </c>
      <c r="EH964" s="3"/>
      <c r="GS964" s="3"/>
      <c r="GT964" s="4"/>
      <c r="GU964" s="4"/>
      <c r="GV964" s="4"/>
      <c r="GW964" s="4"/>
      <c r="GX964" s="4"/>
      <c r="GY964" s="4"/>
      <c r="GZ964" s="4"/>
      <c r="HA964" s="4"/>
      <c r="HM964">
        <v>204.41</v>
      </c>
      <c r="IT964" s="134">
        <f>HM964/1.18</f>
        <v>173.23</v>
      </c>
      <c r="IU964" s="359">
        <f>85.08*1.04</f>
        <v>88.48</v>
      </c>
      <c r="IV964" s="123">
        <f>88.48*1.045</f>
        <v>92.46</v>
      </c>
    </row>
    <row r="965" spans="1:256" ht="15.75" x14ac:dyDescent="0.25">
      <c r="A965" s="126" t="s">
        <v>786</v>
      </c>
      <c r="B965" s="125" t="s">
        <v>1082</v>
      </c>
      <c r="C965" s="122" t="s">
        <v>1053</v>
      </c>
      <c r="D965" s="389">
        <f>127.2*1.05</f>
        <v>133.56</v>
      </c>
      <c r="E965" s="14">
        <f t="shared" si="89"/>
        <v>26.71</v>
      </c>
      <c r="F965" s="97">
        <f>D965+E965</f>
        <v>160.27000000000001</v>
      </c>
      <c r="EH965" s="3"/>
      <c r="GS965" s="3"/>
      <c r="GT965" s="4"/>
      <c r="GU965" s="4"/>
      <c r="GV965" s="4"/>
      <c r="GW965" s="4"/>
      <c r="GX965" s="4"/>
      <c r="GY965" s="4"/>
      <c r="GZ965" s="4"/>
      <c r="HA965" s="4"/>
      <c r="HM965">
        <v>150.1</v>
      </c>
      <c r="IT965" s="134">
        <f>HM965/1.18</f>
        <v>127.2</v>
      </c>
      <c r="IU965" s="359">
        <f>13.93*1.04</f>
        <v>14.49</v>
      </c>
      <c r="IV965" s="123">
        <f>14.49*1.045</f>
        <v>15.14</v>
      </c>
    </row>
    <row r="966" spans="1:256" ht="15.75" x14ac:dyDescent="0.2">
      <c r="A966" s="126" t="s">
        <v>788</v>
      </c>
      <c r="B966" s="381" t="s">
        <v>1083</v>
      </c>
      <c r="C966" s="122" t="s">
        <v>1053</v>
      </c>
      <c r="D966" s="389">
        <f>241.42*1.05</f>
        <v>253.49</v>
      </c>
      <c r="E966" s="14">
        <f t="shared" si="89"/>
        <v>50.7</v>
      </c>
      <c r="F966" s="97">
        <f t="shared" si="90"/>
        <v>304.19</v>
      </c>
      <c r="EH966" s="3" t="s">
        <v>1054</v>
      </c>
      <c r="GS966" s="3"/>
      <c r="GT966" s="4"/>
      <c r="GU966" s="4"/>
      <c r="GV966" s="4"/>
      <c r="GW966" s="4"/>
      <c r="GX966" s="4"/>
      <c r="GY966" s="4"/>
      <c r="GZ966" s="4"/>
      <c r="HA966" s="4"/>
    </row>
    <row r="967" spans="1:256" ht="31.5" x14ac:dyDescent="0.25">
      <c r="A967" s="126" t="s">
        <v>790</v>
      </c>
      <c r="B967" s="125" t="s">
        <v>1084</v>
      </c>
      <c r="C967" s="122" t="s">
        <v>1053</v>
      </c>
      <c r="D967" s="389">
        <f>159.66*1.05</f>
        <v>167.64</v>
      </c>
      <c r="E967" s="14">
        <f t="shared" si="89"/>
        <v>33.53</v>
      </c>
      <c r="F967" s="97">
        <f t="shared" si="90"/>
        <v>201.17</v>
      </c>
      <c r="EH967" s="3"/>
      <c r="GS967" s="3"/>
      <c r="GT967" s="4"/>
      <c r="GU967" s="4"/>
      <c r="GV967" s="4"/>
      <c r="GW967" s="4"/>
      <c r="GX967" s="4"/>
      <c r="GY967" s="4"/>
      <c r="GZ967" s="4"/>
      <c r="HA967" s="4"/>
      <c r="HM967">
        <v>188.4</v>
      </c>
      <c r="IT967" s="135">
        <f>HM967/1.18</f>
        <v>159.66</v>
      </c>
      <c r="IU967" s="359">
        <f>89.96*1.04</f>
        <v>93.56</v>
      </c>
      <c r="IV967" s="123">
        <f>93.56*1.045</f>
        <v>97.77</v>
      </c>
    </row>
    <row r="968" spans="1:256" ht="31.5" x14ac:dyDescent="0.25">
      <c r="A968" s="126" t="s">
        <v>791</v>
      </c>
      <c r="B968" s="125" t="s">
        <v>2044</v>
      </c>
      <c r="C968" s="122" t="s">
        <v>1053</v>
      </c>
      <c r="D968" s="389">
        <f>115.44*1.05</f>
        <v>121.21</v>
      </c>
      <c r="E968" s="14">
        <f t="shared" si="89"/>
        <v>24.24</v>
      </c>
      <c r="F968" s="97">
        <f t="shared" si="90"/>
        <v>145.44999999999999</v>
      </c>
      <c r="EH968" s="3"/>
      <c r="GS968" s="3"/>
      <c r="GT968" s="4"/>
      <c r="GU968" s="4"/>
      <c r="GV968" s="4"/>
      <c r="GW968" s="4"/>
      <c r="GX968" s="4"/>
      <c r="GY968" s="4"/>
      <c r="GZ968" s="4"/>
      <c r="HA968" s="4"/>
    </row>
    <row r="969" spans="1:256" ht="31.5" x14ac:dyDescent="0.25">
      <c r="A969" s="126" t="s">
        <v>793</v>
      </c>
      <c r="B969" s="125" t="s">
        <v>2045</v>
      </c>
      <c r="C969" s="122" t="s">
        <v>1053</v>
      </c>
      <c r="D969" s="389">
        <f>45.87*1.05</f>
        <v>48.16</v>
      </c>
      <c r="E969" s="14">
        <f t="shared" si="89"/>
        <v>9.6300000000000008</v>
      </c>
      <c r="F969" s="97">
        <f>D969+E969</f>
        <v>57.79</v>
      </c>
      <c r="EH969" s="3"/>
      <c r="GS969" s="3"/>
      <c r="GT969" s="4"/>
      <c r="GU969" s="4"/>
      <c r="GV969" s="4"/>
      <c r="GW969" s="4"/>
      <c r="GX969" s="4"/>
      <c r="GY969" s="4"/>
      <c r="GZ969" s="4"/>
      <c r="HA969" s="4"/>
    </row>
    <row r="970" spans="1:256" ht="31.5" x14ac:dyDescent="0.25">
      <c r="A970" s="126" t="s">
        <v>795</v>
      </c>
      <c r="B970" s="125" t="s">
        <v>1087</v>
      </c>
      <c r="C970" s="122" t="s">
        <v>1053</v>
      </c>
      <c r="D970" s="389">
        <f>67.08*1.05</f>
        <v>70.430000000000007</v>
      </c>
      <c r="E970" s="14">
        <f t="shared" si="89"/>
        <v>14.09</v>
      </c>
      <c r="F970" s="97">
        <f t="shared" si="90"/>
        <v>84.52</v>
      </c>
      <c r="EH970" s="3"/>
      <c r="GS970" s="3"/>
      <c r="GT970" s="4"/>
      <c r="GU970" s="4"/>
      <c r="GV970" s="4"/>
      <c r="GW970" s="4"/>
      <c r="GX970" s="4"/>
      <c r="GY970" s="4"/>
      <c r="GZ970" s="4"/>
      <c r="HA970" s="4"/>
      <c r="HM970">
        <v>79.150000000000006</v>
      </c>
      <c r="IT970">
        <f>HM970/1.18</f>
        <v>67.076271186440707</v>
      </c>
      <c r="IU970" s="359">
        <f>31.9*1.04</f>
        <v>33.18</v>
      </c>
      <c r="IV970" s="123">
        <f>33.18*1.045</f>
        <v>34.67</v>
      </c>
    </row>
    <row r="971" spans="1:256" ht="15.75" x14ac:dyDescent="0.25">
      <c r="A971" s="126" t="s">
        <v>797</v>
      </c>
      <c r="B971" s="125" t="s">
        <v>2046</v>
      </c>
      <c r="C971" s="122" t="s">
        <v>1053</v>
      </c>
      <c r="D971" s="389">
        <f>127.7*1.05</f>
        <v>134.09</v>
      </c>
      <c r="E971" s="14">
        <f t="shared" si="89"/>
        <v>26.82</v>
      </c>
      <c r="F971" s="97">
        <f>D971+E971</f>
        <v>160.91</v>
      </c>
      <c r="EH971" s="3"/>
      <c r="GS971" s="3"/>
      <c r="GT971" s="4"/>
      <c r="GU971" s="4"/>
      <c r="GV971" s="4"/>
      <c r="GW971" s="4"/>
      <c r="GX971" s="4"/>
      <c r="GY971" s="4"/>
      <c r="GZ971" s="4"/>
      <c r="HA971" s="4"/>
      <c r="HM971">
        <v>150.69</v>
      </c>
      <c r="IT971">
        <f>HM971/1.18</f>
        <v>127.703389830508</v>
      </c>
      <c r="IU971" s="359">
        <f>12.79*1.04</f>
        <v>13.3</v>
      </c>
      <c r="IV971" s="123">
        <f>13.3*1.045</f>
        <v>13.9</v>
      </c>
    </row>
    <row r="972" spans="1:256" ht="17.25" customHeight="1" x14ac:dyDescent="0.2">
      <c r="A972" s="121" t="s">
        <v>50</v>
      </c>
      <c r="B972" s="430" t="s">
        <v>1089</v>
      </c>
      <c r="C972" s="430"/>
      <c r="D972" s="430"/>
      <c r="E972" s="430"/>
      <c r="F972" s="430"/>
      <c r="EH972" s="3"/>
      <c r="GS972" s="3"/>
      <c r="GT972" s="4"/>
      <c r="GU972" s="4"/>
      <c r="GV972" s="4"/>
      <c r="GW972" s="4"/>
      <c r="GX972" s="4"/>
      <c r="GY972" s="4"/>
      <c r="GZ972" s="4"/>
      <c r="HA972" s="4"/>
    </row>
    <row r="973" spans="1:256" ht="15.75" x14ac:dyDescent="0.25">
      <c r="A973" s="126" t="s">
        <v>835</v>
      </c>
      <c r="B973" s="125" t="s">
        <v>1090</v>
      </c>
      <c r="C973" s="122" t="s">
        <v>1053</v>
      </c>
      <c r="D973" s="389">
        <f>35*1.05</f>
        <v>36.75</v>
      </c>
      <c r="E973" s="14">
        <f t="shared" ref="E973:E990" si="91">D973*20%</f>
        <v>7.35</v>
      </c>
      <c r="F973" s="97">
        <f t="shared" ref="F973:F990" si="92">D973+E973</f>
        <v>44.1</v>
      </c>
      <c r="EH973" s="3"/>
      <c r="GS973" s="3"/>
      <c r="GT973" s="4"/>
      <c r="GU973" s="4"/>
      <c r="GV973" s="4"/>
      <c r="GW973" s="4"/>
      <c r="GX973" s="4"/>
      <c r="GY973" s="4"/>
      <c r="GZ973" s="4"/>
      <c r="HA973" s="4"/>
      <c r="IU973" s="359">
        <f>32.2*1.04</f>
        <v>33.49</v>
      </c>
      <c r="IV973" s="123">
        <f>33.49*1.045</f>
        <v>35</v>
      </c>
    </row>
    <row r="974" spans="1:256" ht="36.75" customHeight="1" x14ac:dyDescent="0.25">
      <c r="A974" s="126" t="s">
        <v>837</v>
      </c>
      <c r="B974" s="125" t="s">
        <v>1091</v>
      </c>
      <c r="C974" s="122" t="s">
        <v>1053</v>
      </c>
      <c r="D974" s="389">
        <f>41.98*1.05</f>
        <v>44.08</v>
      </c>
      <c r="E974" s="14">
        <f t="shared" si="91"/>
        <v>8.82</v>
      </c>
      <c r="F974" s="97">
        <f>D974+E974</f>
        <v>52.9</v>
      </c>
      <c r="EH974" s="3"/>
      <c r="GS974" s="3"/>
      <c r="GT974" s="4"/>
      <c r="GU974" s="4"/>
      <c r="GV974" s="4"/>
      <c r="GW974" s="4"/>
      <c r="GX974" s="4"/>
      <c r="GY974" s="4"/>
      <c r="GZ974" s="4"/>
      <c r="HA974" s="4"/>
      <c r="HM974">
        <v>49.53</v>
      </c>
      <c r="IT974">
        <f>HM974/1.18</f>
        <v>41.9745762711864</v>
      </c>
      <c r="IU974" s="359">
        <f>15.91*1.04</f>
        <v>16.55</v>
      </c>
      <c r="IV974" s="123">
        <f>16.55*1.045</f>
        <v>17.29</v>
      </c>
    </row>
    <row r="975" spans="1:256" ht="47.25" x14ac:dyDescent="0.2">
      <c r="A975" s="121" t="s">
        <v>52</v>
      </c>
      <c r="B975" s="397" t="s">
        <v>1093</v>
      </c>
      <c r="C975" s="122" t="s">
        <v>1053</v>
      </c>
      <c r="D975" s="389">
        <f>321.63*1.05</f>
        <v>337.71</v>
      </c>
      <c r="E975" s="14">
        <f t="shared" si="91"/>
        <v>67.540000000000006</v>
      </c>
      <c r="F975" s="97">
        <f t="shared" si="92"/>
        <v>405.25</v>
      </c>
      <c r="EH975" s="3" t="s">
        <v>1054</v>
      </c>
      <c r="GS975" s="3"/>
      <c r="GT975" s="4"/>
      <c r="GU975" s="4"/>
      <c r="GV975" s="4"/>
      <c r="GW975" s="4"/>
      <c r="GX975" s="4"/>
      <c r="GY975" s="4"/>
      <c r="GZ975" s="4"/>
      <c r="HA975" s="4"/>
    </row>
    <row r="976" spans="1:256" ht="36.75" customHeight="1" x14ac:dyDescent="0.2">
      <c r="A976" s="121" t="s">
        <v>54</v>
      </c>
      <c r="B976" s="397" t="s">
        <v>1094</v>
      </c>
      <c r="C976" s="122" t="s">
        <v>1053</v>
      </c>
      <c r="D976" s="389">
        <f>253.97*1.05</f>
        <v>266.67</v>
      </c>
      <c r="E976" s="14">
        <f>D976*20%</f>
        <v>53.33</v>
      </c>
      <c r="F976" s="97">
        <f>D976+E976</f>
        <v>320</v>
      </c>
      <c r="EH976" s="3"/>
      <c r="GS976" s="3"/>
      <c r="GT976" s="4"/>
      <c r="GU976" s="4"/>
      <c r="GV976" s="4"/>
      <c r="GW976" s="4"/>
      <c r="GX976" s="4"/>
      <c r="GY976" s="4"/>
      <c r="GZ976" s="4"/>
      <c r="HA976" s="4"/>
    </row>
    <row r="977" spans="1:256" ht="44.25" customHeight="1" x14ac:dyDescent="0.2">
      <c r="A977" s="121" t="s">
        <v>56</v>
      </c>
      <c r="B977" s="397" t="s">
        <v>1095</v>
      </c>
      <c r="C977" s="122" t="s">
        <v>1053</v>
      </c>
      <c r="D977" s="389">
        <f>108.58*1.05</f>
        <v>114.01</v>
      </c>
      <c r="E977" s="14">
        <f t="shared" si="91"/>
        <v>22.8</v>
      </c>
      <c r="F977" s="97">
        <f t="shared" si="92"/>
        <v>136.81</v>
      </c>
      <c r="EH977" s="3"/>
      <c r="GS977" s="3"/>
      <c r="GT977" s="4"/>
      <c r="GU977" s="4"/>
      <c r="GV977" s="4"/>
      <c r="GW977" s="4"/>
      <c r="GX977" s="4"/>
      <c r="GY977" s="4"/>
      <c r="GZ977" s="4"/>
      <c r="HA977" s="4"/>
      <c r="IU977" s="359">
        <f>99.9*1.04</f>
        <v>103.9</v>
      </c>
      <c r="IV977" s="123">
        <f>103.9*1.045</f>
        <v>108.58</v>
      </c>
    </row>
    <row r="978" spans="1:256" ht="36" customHeight="1" x14ac:dyDescent="0.2">
      <c r="A978" s="121" t="s">
        <v>58</v>
      </c>
      <c r="B978" s="397" t="s">
        <v>1096</v>
      </c>
      <c r="C978" s="122" t="s">
        <v>1053</v>
      </c>
      <c r="D978" s="389">
        <f>252.3*1.05</f>
        <v>264.92</v>
      </c>
      <c r="E978" s="14">
        <f t="shared" si="91"/>
        <v>52.98</v>
      </c>
      <c r="F978" s="97">
        <f>D978+E978</f>
        <v>317.89999999999998</v>
      </c>
      <c r="EH978" s="3" t="s">
        <v>1054</v>
      </c>
      <c r="GS978" s="3"/>
      <c r="GT978" s="4"/>
      <c r="GU978" s="4"/>
      <c r="GV978" s="4"/>
      <c r="GW978" s="4"/>
      <c r="GX978" s="4"/>
      <c r="GY978" s="4"/>
      <c r="GZ978" s="4"/>
      <c r="HA978" s="4"/>
    </row>
    <row r="979" spans="1:256" ht="52.5" customHeight="1" x14ac:dyDescent="0.2">
      <c r="A979" s="121" t="s">
        <v>60</v>
      </c>
      <c r="B979" s="397" t="s">
        <v>1097</v>
      </c>
      <c r="C979" s="122" t="s">
        <v>1053</v>
      </c>
      <c r="D979" s="389">
        <f>46.75*1.05</f>
        <v>49.09</v>
      </c>
      <c r="E979" s="14">
        <f t="shared" si="91"/>
        <v>9.82</v>
      </c>
      <c r="F979" s="97">
        <f t="shared" si="92"/>
        <v>58.91</v>
      </c>
      <c r="EH979" s="3"/>
      <c r="GS979" s="3"/>
      <c r="GT979" s="4"/>
      <c r="GU979" s="4"/>
      <c r="GV979" s="4"/>
      <c r="GW979" s="4"/>
      <c r="GX979" s="4"/>
      <c r="GY979" s="4"/>
      <c r="GZ979" s="4"/>
      <c r="HA979" s="4"/>
      <c r="IU979" s="359">
        <f>43.02*1.04</f>
        <v>44.74</v>
      </c>
      <c r="IV979" s="123">
        <f>44.74*1.045</f>
        <v>46.75</v>
      </c>
    </row>
    <row r="980" spans="1:256" ht="36" customHeight="1" x14ac:dyDescent="0.2">
      <c r="A980" s="132" t="s">
        <v>62</v>
      </c>
      <c r="B980" s="397" t="s">
        <v>2267</v>
      </c>
      <c r="C980" s="122" t="s">
        <v>1053</v>
      </c>
      <c r="D980" s="389">
        <f>298.64*1.05</f>
        <v>313.57</v>
      </c>
      <c r="E980" s="14">
        <f t="shared" si="91"/>
        <v>62.71</v>
      </c>
      <c r="F980" s="97">
        <f t="shared" si="92"/>
        <v>376.28</v>
      </c>
      <c r="EH980" s="3"/>
      <c r="GS980" s="3"/>
      <c r="GT980" s="4"/>
      <c r="GU980" s="4"/>
      <c r="GV980" s="4"/>
      <c r="GW980" s="4"/>
      <c r="GX980" s="4"/>
      <c r="GY980" s="4"/>
      <c r="GZ980" s="4"/>
      <c r="HA980" s="4"/>
    </row>
    <row r="981" spans="1:256" ht="33.75" customHeight="1" x14ac:dyDescent="0.2">
      <c r="A981" s="132" t="s">
        <v>64</v>
      </c>
      <c r="B981" s="397" t="s">
        <v>1100</v>
      </c>
      <c r="C981" s="122" t="s">
        <v>1053</v>
      </c>
      <c r="D981" s="389">
        <f>59.2*1.05</f>
        <v>62.16</v>
      </c>
      <c r="E981" s="14">
        <f t="shared" si="91"/>
        <v>12.43</v>
      </c>
      <c r="F981" s="97">
        <f t="shared" si="92"/>
        <v>74.59</v>
      </c>
      <c r="EH981" s="3"/>
      <c r="GS981" s="3"/>
      <c r="GT981" s="4"/>
      <c r="GU981" s="4"/>
      <c r="GV981" s="4"/>
      <c r="GW981" s="4"/>
      <c r="GX981" s="4"/>
      <c r="GY981" s="4"/>
      <c r="GZ981" s="4"/>
      <c r="HA981" s="4"/>
      <c r="HM981">
        <v>69.849999999999994</v>
      </c>
      <c r="IT981">
        <f>HM981/1.18</f>
        <v>59.194915254237301</v>
      </c>
      <c r="IU981" s="359">
        <f>32.47*1.04</f>
        <v>33.770000000000003</v>
      </c>
      <c r="IV981" s="123">
        <f>33.77*1.045</f>
        <v>35.29</v>
      </c>
    </row>
    <row r="982" spans="1:256" ht="31.5" x14ac:dyDescent="0.2">
      <c r="A982" s="132" t="s">
        <v>66</v>
      </c>
      <c r="B982" s="397" t="s">
        <v>1102</v>
      </c>
      <c r="C982" s="122" t="s">
        <v>1053</v>
      </c>
      <c r="D982" s="389">
        <f>76.35*1.05</f>
        <v>80.17</v>
      </c>
      <c r="E982" s="14">
        <f t="shared" si="91"/>
        <v>16.03</v>
      </c>
      <c r="F982" s="97">
        <f t="shared" si="92"/>
        <v>96.2</v>
      </c>
      <c r="EH982" s="3"/>
      <c r="GS982" s="3"/>
      <c r="GT982" s="4"/>
      <c r="GU982" s="4"/>
      <c r="GV982" s="4"/>
      <c r="GW982" s="4"/>
      <c r="GX982" s="4"/>
      <c r="GY982" s="4"/>
      <c r="GZ982" s="4"/>
      <c r="HA982" s="4"/>
      <c r="IU982" s="359">
        <f>70.25*1.04</f>
        <v>73.06</v>
      </c>
      <c r="IV982" s="123">
        <f>73.06*1.045</f>
        <v>76.349999999999994</v>
      </c>
    </row>
    <row r="983" spans="1:256" ht="34.5" customHeight="1" x14ac:dyDescent="0.2">
      <c r="A983" s="132" t="s">
        <v>68</v>
      </c>
      <c r="B983" s="397" t="s">
        <v>1104</v>
      </c>
      <c r="C983" s="122" t="s">
        <v>1053</v>
      </c>
      <c r="D983" s="389">
        <f>41.81*1.05</f>
        <v>43.9</v>
      </c>
      <c r="E983" s="14">
        <f t="shared" si="91"/>
        <v>8.7799999999999994</v>
      </c>
      <c r="F983" s="97">
        <f>D983+E983</f>
        <v>52.68</v>
      </c>
      <c r="EH983" s="3"/>
      <c r="GS983" s="3"/>
      <c r="GT983" s="4"/>
      <c r="GU983" s="4"/>
      <c r="GV983" s="4"/>
      <c r="GW983" s="4"/>
      <c r="GX983" s="4"/>
      <c r="GY983" s="4"/>
      <c r="GZ983" s="4"/>
      <c r="HA983" s="4"/>
      <c r="IU983" s="359">
        <f>37.79*1.04</f>
        <v>39.299999999999997</v>
      </c>
      <c r="IV983" s="123">
        <f>39.3*1.045</f>
        <v>41.07</v>
      </c>
    </row>
    <row r="984" spans="1:256" ht="47.25" x14ac:dyDescent="0.2">
      <c r="A984" s="121" t="s">
        <v>71</v>
      </c>
      <c r="B984" s="397" t="s">
        <v>1106</v>
      </c>
      <c r="C984" s="122" t="s">
        <v>1053</v>
      </c>
      <c r="D984" s="389">
        <f>158.22*1.05</f>
        <v>166.13</v>
      </c>
      <c r="E984" s="14">
        <f t="shared" si="91"/>
        <v>33.229999999999997</v>
      </c>
      <c r="F984" s="97">
        <f>D984+E984</f>
        <v>199.36</v>
      </c>
      <c r="EH984" s="3"/>
      <c r="GS984" s="3"/>
      <c r="GT984" s="4"/>
      <c r="GU984" s="4"/>
      <c r="GV984" s="4"/>
      <c r="GW984" s="4"/>
      <c r="GX984" s="4"/>
      <c r="GY984" s="4"/>
      <c r="GZ984" s="4"/>
      <c r="HA984" s="4"/>
      <c r="IU984" s="359">
        <f>145.59*1.04</f>
        <v>151.41</v>
      </c>
      <c r="IV984" s="123">
        <f>151.41*1.045</f>
        <v>158.22</v>
      </c>
    </row>
    <row r="985" spans="1:256" ht="47.25" x14ac:dyDescent="0.2">
      <c r="A985" s="121" t="s">
        <v>73</v>
      </c>
      <c r="B985" s="397" t="s">
        <v>1108</v>
      </c>
      <c r="C985" s="122" t="s">
        <v>1053</v>
      </c>
      <c r="D985" s="389">
        <f>125.25*1.05</f>
        <v>131.51</v>
      </c>
      <c r="E985" s="14">
        <f t="shared" si="91"/>
        <v>26.3</v>
      </c>
      <c r="F985" s="97">
        <f t="shared" si="92"/>
        <v>157.81</v>
      </c>
      <c r="EH985" s="3"/>
      <c r="GS985" s="3"/>
      <c r="GT985" s="4"/>
      <c r="GU985" s="4"/>
      <c r="GV985" s="4"/>
      <c r="GW985" s="4"/>
      <c r="GX985" s="4"/>
      <c r="GY985" s="4"/>
      <c r="GZ985" s="4"/>
      <c r="HA985" s="4"/>
      <c r="IU985" s="359">
        <f>115.25*1.04</f>
        <v>119.86</v>
      </c>
      <c r="IV985" s="123">
        <f>119.86*1.045</f>
        <v>125.25</v>
      </c>
    </row>
    <row r="986" spans="1:256" ht="31.5" x14ac:dyDescent="0.2">
      <c r="A986" s="121" t="s">
        <v>75</v>
      </c>
      <c r="B986" s="397" t="s">
        <v>1110</v>
      </c>
      <c r="C986" s="122" t="s">
        <v>1053</v>
      </c>
      <c r="D986" s="389">
        <f>99.11*1.05</f>
        <v>104.07</v>
      </c>
      <c r="E986" s="14">
        <f t="shared" si="91"/>
        <v>20.81</v>
      </c>
      <c r="F986" s="97">
        <f t="shared" si="92"/>
        <v>124.88</v>
      </c>
      <c r="EH986" s="3"/>
      <c r="GS986" s="3"/>
      <c r="GT986" s="4"/>
      <c r="GU986" s="4"/>
      <c r="GV986" s="4"/>
      <c r="GW986" s="4"/>
      <c r="GX986" s="4"/>
      <c r="GY986" s="4"/>
      <c r="GZ986" s="4"/>
      <c r="HA986" s="4"/>
      <c r="IU986" s="359">
        <f>91.19*1.04</f>
        <v>94.84</v>
      </c>
      <c r="IV986" s="123">
        <f>94.84*1.045</f>
        <v>99.11</v>
      </c>
    </row>
    <row r="987" spans="1:256" ht="40.5" customHeight="1" x14ac:dyDescent="0.2">
      <c r="A987" s="121" t="s">
        <v>77</v>
      </c>
      <c r="B987" s="397" t="s">
        <v>1112</v>
      </c>
      <c r="C987" s="122" t="s">
        <v>1053</v>
      </c>
      <c r="D987" s="389">
        <f>92.48*1.05</f>
        <v>97.1</v>
      </c>
      <c r="E987" s="14">
        <f t="shared" si="91"/>
        <v>19.420000000000002</v>
      </c>
      <c r="F987" s="97">
        <f t="shared" si="92"/>
        <v>116.52</v>
      </c>
      <c r="EH987" s="3"/>
      <c r="GS987" s="3"/>
      <c r="GT987" s="4"/>
      <c r="GU987" s="4"/>
      <c r="GV987" s="4"/>
      <c r="GW987" s="4"/>
      <c r="GX987" s="4"/>
      <c r="GY987" s="4"/>
      <c r="GZ987" s="4"/>
      <c r="HA987" s="4"/>
    </row>
    <row r="988" spans="1:256" ht="34.5" customHeight="1" x14ac:dyDescent="0.2">
      <c r="A988" s="121" t="s">
        <v>79</v>
      </c>
      <c r="B988" s="397" t="s">
        <v>1113</v>
      </c>
      <c r="C988" s="122" t="s">
        <v>1053</v>
      </c>
      <c r="D988" s="389">
        <f>48.68*1.05</f>
        <v>51.11</v>
      </c>
      <c r="E988" s="14">
        <f t="shared" si="91"/>
        <v>10.220000000000001</v>
      </c>
      <c r="F988" s="97">
        <f>D988+E988</f>
        <v>61.33</v>
      </c>
      <c r="EH988" s="3"/>
      <c r="GS988" s="3"/>
      <c r="GT988" s="4"/>
      <c r="GU988" s="4"/>
      <c r="GV988" s="4"/>
      <c r="GW988" s="4"/>
      <c r="GX988" s="4"/>
      <c r="GY988" s="4"/>
      <c r="GZ988" s="4"/>
      <c r="HA988" s="4"/>
    </row>
    <row r="989" spans="1:256" ht="39.75" customHeight="1" x14ac:dyDescent="0.2">
      <c r="A989" s="132" t="s">
        <v>81</v>
      </c>
      <c r="B989" s="397" t="s">
        <v>1114</v>
      </c>
      <c r="C989" s="122" t="s">
        <v>1053</v>
      </c>
      <c r="D989" s="389">
        <f>48.68*1.05</f>
        <v>51.11</v>
      </c>
      <c r="E989" s="14">
        <f t="shared" si="91"/>
        <v>10.220000000000001</v>
      </c>
      <c r="F989" s="97">
        <f>D989+E989</f>
        <v>61.33</v>
      </c>
      <c r="EH989" s="3"/>
      <c r="GS989" s="3"/>
      <c r="GT989" s="4"/>
      <c r="GU989" s="4"/>
      <c r="GV989" s="4"/>
      <c r="GW989" s="4"/>
      <c r="GX989" s="4"/>
      <c r="GY989" s="4"/>
      <c r="GZ989" s="4"/>
      <c r="HA989" s="4"/>
    </row>
    <row r="990" spans="1:256" ht="66" customHeight="1" x14ac:dyDescent="0.2">
      <c r="A990" s="121" t="s">
        <v>83</v>
      </c>
      <c r="B990" s="397" t="s">
        <v>1116</v>
      </c>
      <c r="C990" s="122" t="s">
        <v>1053</v>
      </c>
      <c r="D990" s="389">
        <f>387.39*1.05</f>
        <v>406.76</v>
      </c>
      <c r="E990" s="14">
        <f t="shared" si="91"/>
        <v>81.349999999999994</v>
      </c>
      <c r="F990" s="97">
        <f t="shared" si="92"/>
        <v>488.11</v>
      </c>
      <c r="EH990" s="3"/>
      <c r="GS990" s="3"/>
      <c r="GT990" s="4"/>
      <c r="GU990" s="4"/>
      <c r="GV990" s="4"/>
      <c r="GW990" s="4"/>
      <c r="GX990" s="4"/>
      <c r="GY990" s="4"/>
      <c r="GZ990" s="4"/>
      <c r="HA990" s="4"/>
    </row>
    <row r="991" spans="1:256" ht="20.25" customHeight="1" x14ac:dyDescent="0.2">
      <c r="A991" s="121" t="s">
        <v>85</v>
      </c>
      <c r="B991" s="430" t="s">
        <v>1117</v>
      </c>
      <c r="C991" s="430"/>
      <c r="D991" s="430"/>
      <c r="E991" s="430"/>
      <c r="F991" s="430"/>
      <c r="EH991" s="3"/>
      <c r="GS991" s="3"/>
      <c r="GT991" s="4"/>
      <c r="GU991" s="4"/>
      <c r="GV991" s="4"/>
      <c r="GW991" s="4"/>
      <c r="GX991" s="4"/>
      <c r="GY991" s="4"/>
      <c r="GZ991" s="4"/>
      <c r="HA991" s="4"/>
    </row>
    <row r="992" spans="1:256" ht="19.5" customHeight="1" x14ac:dyDescent="0.2">
      <c r="A992" s="126" t="s">
        <v>1856</v>
      </c>
      <c r="B992" s="381" t="s">
        <v>1118</v>
      </c>
      <c r="C992" s="122" t="s">
        <v>1053</v>
      </c>
      <c r="D992" s="389">
        <f>85.41*1.05</f>
        <v>89.68</v>
      </c>
      <c r="E992" s="14">
        <f>D992*20%</f>
        <v>17.940000000000001</v>
      </c>
      <c r="F992" s="97">
        <f>D992+E992</f>
        <v>107.62</v>
      </c>
      <c r="EH992" s="3"/>
      <c r="GS992" s="3"/>
      <c r="GT992" s="4"/>
      <c r="GU992" s="4"/>
      <c r="GV992" s="4"/>
      <c r="GW992" s="4"/>
      <c r="GX992" s="4"/>
      <c r="GY992" s="4"/>
      <c r="GZ992" s="4"/>
      <c r="HA992" s="4"/>
      <c r="HM992">
        <v>100.78</v>
      </c>
      <c r="IT992">
        <f>HM992/1.18</f>
        <v>85.406779661016998</v>
      </c>
      <c r="IU992" s="359">
        <f>65.83*1.04</f>
        <v>68.459999999999994</v>
      </c>
      <c r="IV992" s="123">
        <f>68.46*1.045</f>
        <v>71.540000000000006</v>
      </c>
    </row>
    <row r="993" spans="1:256" ht="36" customHeight="1" x14ac:dyDescent="0.2">
      <c r="A993" s="126" t="s">
        <v>1857</v>
      </c>
      <c r="B993" s="381" t="s">
        <v>1119</v>
      </c>
      <c r="C993" s="122" t="s">
        <v>1053</v>
      </c>
      <c r="D993" s="389">
        <f>108.59*1.05</f>
        <v>114.02</v>
      </c>
      <c r="E993" s="14">
        <f>D993*20%</f>
        <v>22.8</v>
      </c>
      <c r="F993" s="97">
        <f>D993+E993</f>
        <v>136.82</v>
      </c>
      <c r="EH993" s="3"/>
      <c r="GS993" s="3"/>
      <c r="GT993" s="4"/>
      <c r="GU993" s="4"/>
      <c r="GV993" s="4"/>
      <c r="GW993" s="4"/>
      <c r="GX993" s="4"/>
      <c r="GY993" s="4"/>
      <c r="GZ993" s="4"/>
      <c r="HA993" s="4"/>
    </row>
    <row r="994" spans="1:256" ht="33.75" customHeight="1" x14ac:dyDescent="0.2">
      <c r="A994" s="121" t="s">
        <v>87</v>
      </c>
      <c r="B994" s="397" t="s">
        <v>1120</v>
      </c>
      <c r="C994" s="122" t="s">
        <v>1053</v>
      </c>
      <c r="D994" s="389">
        <f>114.07*1.05</f>
        <v>119.77</v>
      </c>
      <c r="E994" s="14">
        <f>D994*20%</f>
        <v>23.95</v>
      </c>
      <c r="F994" s="97">
        <f>D994+E994</f>
        <v>143.72</v>
      </c>
      <c r="EH994" s="3"/>
      <c r="GS994" s="3"/>
      <c r="GT994" s="4"/>
      <c r="GU994" s="4"/>
      <c r="GV994" s="4"/>
      <c r="GW994" s="4"/>
      <c r="GX994" s="4"/>
      <c r="GY994" s="4"/>
      <c r="GZ994" s="4"/>
      <c r="HA994" s="4"/>
      <c r="HM994">
        <v>134.6</v>
      </c>
      <c r="IT994">
        <f>HM994/1.18</f>
        <v>114.067796610169</v>
      </c>
      <c r="IU994" s="359">
        <f>97.46*1.04</f>
        <v>101.36</v>
      </c>
      <c r="IV994" s="123">
        <f>101.36*1.045</f>
        <v>105.92</v>
      </c>
    </row>
    <row r="995" spans="1:256" ht="15.75" x14ac:dyDescent="0.2">
      <c r="A995" s="121" t="s">
        <v>90</v>
      </c>
      <c r="B995" s="430" t="s">
        <v>1121</v>
      </c>
      <c r="C995" s="430"/>
      <c r="D995" s="430"/>
      <c r="E995" s="430"/>
      <c r="F995" s="430"/>
      <c r="EH995" s="3"/>
      <c r="GS995" s="3"/>
      <c r="GT995" s="4"/>
      <c r="GU995" s="4"/>
      <c r="GV995" s="4"/>
      <c r="GW995" s="4"/>
      <c r="GX995" s="4"/>
      <c r="GY995" s="4"/>
      <c r="GZ995" s="4"/>
      <c r="HA995" s="4"/>
    </row>
    <row r="996" spans="1:256" ht="15.75" x14ac:dyDescent="0.25">
      <c r="A996" s="126" t="s">
        <v>1858</v>
      </c>
      <c r="B996" s="125" t="s">
        <v>1122</v>
      </c>
      <c r="C996" s="122" t="s">
        <v>1053</v>
      </c>
      <c r="D996" s="389">
        <f>220.74*1.05</f>
        <v>231.78</v>
      </c>
      <c r="E996" s="14">
        <f>D996*20%</f>
        <v>46.36</v>
      </c>
      <c r="F996" s="97">
        <f>D996+E996</f>
        <v>278.14</v>
      </c>
      <c r="EH996" s="3" t="s">
        <v>1054</v>
      </c>
      <c r="GS996" s="3"/>
      <c r="GT996" s="4"/>
      <c r="GU996" s="4"/>
      <c r="GV996" s="4"/>
      <c r="GW996" s="4"/>
      <c r="GX996" s="4"/>
      <c r="GY996" s="4"/>
      <c r="GZ996" s="4"/>
      <c r="HA996" s="4"/>
    </row>
    <row r="997" spans="1:256" ht="15.75" x14ac:dyDescent="0.25">
      <c r="A997" s="126" t="s">
        <v>1859</v>
      </c>
      <c r="B997" s="125" t="s">
        <v>1123</v>
      </c>
      <c r="C997" s="122" t="s">
        <v>1053</v>
      </c>
      <c r="D997" s="389">
        <f>95.54*1.05</f>
        <v>100.32</v>
      </c>
      <c r="E997" s="14">
        <f>D997*20%</f>
        <v>20.059999999999999</v>
      </c>
      <c r="F997" s="97">
        <f>D997+E997</f>
        <v>120.38</v>
      </c>
      <c r="EH997" s="3"/>
      <c r="GS997" s="3"/>
      <c r="GT997" s="4"/>
      <c r="GU997" s="4"/>
      <c r="GV997" s="4"/>
      <c r="GW997" s="4"/>
      <c r="GX997" s="4"/>
      <c r="GY997" s="4"/>
      <c r="GZ997" s="4"/>
      <c r="HA997" s="4"/>
      <c r="HM997">
        <v>112.74</v>
      </c>
      <c r="IT997">
        <f>HM997/1.18</f>
        <v>95.542372881355902</v>
      </c>
      <c r="IU997" s="359">
        <f>52.75*1.04</f>
        <v>54.86</v>
      </c>
      <c r="IV997" s="123">
        <f>54.86*1.045</f>
        <v>57.33</v>
      </c>
    </row>
    <row r="998" spans="1:256" ht="33.75" customHeight="1" x14ac:dyDescent="0.2">
      <c r="A998" s="121" t="s">
        <v>91</v>
      </c>
      <c r="B998" s="397" t="s">
        <v>1124</v>
      </c>
      <c r="C998" s="122" t="s">
        <v>1053</v>
      </c>
      <c r="D998" s="389">
        <f>119.15*1.05</f>
        <v>125.11</v>
      </c>
      <c r="E998" s="14">
        <f>D998*20%</f>
        <v>25.02</v>
      </c>
      <c r="F998" s="97">
        <f>D998+E998</f>
        <v>150.13</v>
      </c>
      <c r="EH998" s="3"/>
      <c r="GS998" s="3"/>
      <c r="GT998" s="4"/>
      <c r="GU998" s="4"/>
      <c r="GV998" s="4"/>
      <c r="GW998" s="4"/>
      <c r="GX998" s="4"/>
      <c r="GY998" s="4"/>
      <c r="GZ998" s="4"/>
      <c r="HA998" s="4"/>
      <c r="HM998">
        <v>140.6</v>
      </c>
      <c r="IT998">
        <f>HM998/1.18</f>
        <v>119.152542372881</v>
      </c>
      <c r="IU998" s="359">
        <f>79.52*1.04</f>
        <v>82.7</v>
      </c>
      <c r="IV998" s="123">
        <f>82.7*1.045</f>
        <v>86.42</v>
      </c>
    </row>
    <row r="999" spans="1:256" ht="34.5" customHeight="1" x14ac:dyDescent="0.2">
      <c r="A999" s="121" t="s">
        <v>106</v>
      </c>
      <c r="B999" s="397" t="s">
        <v>1125</v>
      </c>
      <c r="C999" s="122" t="s">
        <v>1053</v>
      </c>
      <c r="D999" s="389">
        <f>175.79*1.05</f>
        <v>184.58</v>
      </c>
      <c r="E999" s="14">
        <f>D999*20%</f>
        <v>36.92</v>
      </c>
      <c r="F999" s="97">
        <f>D999+E999</f>
        <v>221.5</v>
      </c>
      <c r="EH999" s="3"/>
      <c r="GS999" s="3"/>
      <c r="GT999" s="4"/>
      <c r="GU999" s="4"/>
      <c r="GV999" s="4"/>
      <c r="GW999" s="4"/>
      <c r="GX999" s="4"/>
      <c r="GY999" s="4"/>
      <c r="GZ999" s="4"/>
      <c r="HA999" s="4"/>
      <c r="HM999">
        <v>207.43</v>
      </c>
      <c r="IT999">
        <f>HM999/1.18</f>
        <v>175.78813559322001</v>
      </c>
      <c r="IU999" s="359">
        <f>87.54*1.04</f>
        <v>91.04</v>
      </c>
      <c r="IV999" s="123">
        <f>91.04*1.045</f>
        <v>95.14</v>
      </c>
    </row>
    <row r="1000" spans="1:256" ht="51.75" customHeight="1" x14ac:dyDescent="0.2">
      <c r="A1000" s="121" t="s">
        <v>108</v>
      </c>
      <c r="B1000" s="397" t="s">
        <v>1126</v>
      </c>
      <c r="C1000" s="122" t="s">
        <v>1053</v>
      </c>
      <c r="D1000" s="389">
        <f>301.64*1.05</f>
        <v>316.72000000000003</v>
      </c>
      <c r="E1000" s="14">
        <f>D1000*20%</f>
        <v>63.34</v>
      </c>
      <c r="F1000" s="97">
        <f>D1000+E1000</f>
        <v>380.06</v>
      </c>
      <c r="EH1000" s="3" t="s">
        <v>1054</v>
      </c>
      <c r="GS1000" s="3"/>
      <c r="GT1000" s="4"/>
      <c r="GU1000" s="4"/>
      <c r="GV1000" s="4"/>
      <c r="GW1000" s="4"/>
      <c r="GX1000" s="4"/>
      <c r="GY1000" s="4"/>
      <c r="GZ1000" s="4"/>
      <c r="HA1000" s="4"/>
    </row>
    <row r="1001" spans="1:256" ht="18" customHeight="1" x14ac:dyDescent="0.2">
      <c r="A1001" s="121" t="s">
        <v>114</v>
      </c>
      <c r="B1001" s="430" t="s">
        <v>1128</v>
      </c>
      <c r="C1001" s="430"/>
      <c r="D1001" s="430"/>
      <c r="E1001" s="430"/>
      <c r="F1001" s="430"/>
      <c r="EH1001" s="3"/>
      <c r="GS1001" s="3"/>
      <c r="GT1001" s="4"/>
      <c r="GU1001" s="4"/>
      <c r="GV1001" s="4"/>
      <c r="GW1001" s="4"/>
      <c r="GX1001" s="4"/>
      <c r="GY1001" s="4"/>
      <c r="GZ1001" s="4"/>
      <c r="HA1001" s="4"/>
    </row>
    <row r="1002" spans="1:256" ht="15.75" x14ac:dyDescent="0.25">
      <c r="A1002" s="126" t="s">
        <v>1860</v>
      </c>
      <c r="B1002" s="125" t="s">
        <v>1129</v>
      </c>
      <c r="C1002" s="122" t="s">
        <v>1053</v>
      </c>
      <c r="D1002" s="389">
        <f>631.34*1.05</f>
        <v>662.91</v>
      </c>
      <c r="E1002" s="14">
        <f>D1002*20%</f>
        <v>132.58000000000001</v>
      </c>
      <c r="F1002" s="97">
        <f>D1002+E1002</f>
        <v>795.49</v>
      </c>
      <c r="EH1002" s="3" t="s">
        <v>1054</v>
      </c>
      <c r="GS1002" s="3"/>
      <c r="GT1002" s="4"/>
      <c r="GU1002" s="4"/>
      <c r="GV1002" s="4"/>
      <c r="GW1002" s="4"/>
      <c r="GX1002" s="4"/>
      <c r="GY1002" s="4"/>
      <c r="GZ1002" s="4"/>
      <c r="HA1002" s="4"/>
    </row>
    <row r="1003" spans="1:256" ht="15.75" x14ac:dyDescent="0.25">
      <c r="A1003" s="126" t="s">
        <v>1861</v>
      </c>
      <c r="B1003" s="125" t="s">
        <v>1130</v>
      </c>
      <c r="C1003" s="122" t="s">
        <v>1053</v>
      </c>
      <c r="D1003" s="389">
        <f>391.7*1.05</f>
        <v>411.29</v>
      </c>
      <c r="E1003" s="14">
        <f>D1003*20%</f>
        <v>82.26</v>
      </c>
      <c r="F1003" s="97">
        <f>D1003+E1003</f>
        <v>493.55</v>
      </c>
      <c r="EH1003" s="3"/>
      <c r="GS1003" s="3"/>
      <c r="GT1003" s="4"/>
      <c r="GU1003" s="4"/>
      <c r="GV1003" s="4"/>
      <c r="GW1003" s="4"/>
      <c r="GX1003" s="4"/>
      <c r="GY1003" s="4"/>
      <c r="GZ1003" s="4"/>
      <c r="HA1003" s="4"/>
      <c r="HM1003">
        <v>462.2</v>
      </c>
      <c r="IT1003">
        <f>HM1003/1.18</f>
        <v>391.694915254237</v>
      </c>
      <c r="IU1003" s="359">
        <f>158.25*1.04</f>
        <v>164.58</v>
      </c>
      <c r="IV1003" s="123">
        <f>164.58*1.045</f>
        <v>171.99</v>
      </c>
    </row>
    <row r="1004" spans="1:256" s="129" customFormat="1" ht="62.25" customHeight="1" x14ac:dyDescent="0.2">
      <c r="A1004" s="121" t="s">
        <v>117</v>
      </c>
      <c r="B1004" s="136" t="s">
        <v>1131</v>
      </c>
      <c r="C1004" s="122" t="s">
        <v>1053</v>
      </c>
      <c r="D1004" s="389">
        <f>666.67*1.05</f>
        <v>700</v>
      </c>
      <c r="E1004" s="14">
        <f>D1004*20%</f>
        <v>140</v>
      </c>
      <c r="F1004" s="97">
        <f>D1004+E1004</f>
        <v>840</v>
      </c>
      <c r="G1004" s="3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EH1004" s="130"/>
      <c r="GS1004" s="130"/>
      <c r="GT1004" s="131"/>
      <c r="GU1004" s="131"/>
      <c r="GV1004" s="131"/>
      <c r="GW1004" s="131"/>
      <c r="GX1004" s="131"/>
      <c r="GY1004" s="131"/>
      <c r="GZ1004" s="131"/>
      <c r="HA1004" s="131"/>
      <c r="IU1004" s="120"/>
      <c r="IV1004" s="137"/>
    </row>
    <row r="1005" spans="1:256" ht="19.5" customHeight="1" x14ac:dyDescent="0.2">
      <c r="A1005" s="121" t="s">
        <v>1732</v>
      </c>
      <c r="B1005" s="430" t="s">
        <v>1132</v>
      </c>
      <c r="C1005" s="430"/>
      <c r="D1005" s="430"/>
      <c r="E1005" s="430"/>
      <c r="F1005" s="430"/>
      <c r="EH1005" s="3"/>
      <c r="GS1005" s="3"/>
      <c r="GT1005" s="4"/>
      <c r="GU1005" s="4"/>
      <c r="GV1005" s="4"/>
      <c r="GW1005" s="4"/>
      <c r="GX1005" s="4"/>
      <c r="GY1005" s="4"/>
      <c r="GZ1005" s="4"/>
      <c r="HA1005" s="4"/>
    </row>
    <row r="1006" spans="1:256" ht="15.75" x14ac:dyDescent="0.25">
      <c r="A1006" s="126" t="s">
        <v>1815</v>
      </c>
      <c r="B1006" s="125" t="s">
        <v>1129</v>
      </c>
      <c r="C1006" s="122" t="s">
        <v>1053</v>
      </c>
      <c r="D1006" s="389">
        <f>578.81*1.05</f>
        <v>607.75</v>
      </c>
      <c r="E1006" s="14">
        <f>D1006*20%</f>
        <v>121.55</v>
      </c>
      <c r="F1006" s="97">
        <f>D1006+E1006</f>
        <v>729.3</v>
      </c>
      <c r="EH1006" s="3" t="s">
        <v>1054</v>
      </c>
      <c r="GS1006" s="3"/>
      <c r="GT1006" s="4"/>
      <c r="GU1006" s="4"/>
      <c r="GV1006" s="4"/>
      <c r="GW1006" s="4"/>
      <c r="GX1006" s="4"/>
      <c r="GY1006" s="4"/>
      <c r="GZ1006" s="4"/>
      <c r="HA1006" s="4"/>
    </row>
    <row r="1007" spans="1:256" ht="15.75" x14ac:dyDescent="0.25">
      <c r="A1007" s="126" t="s">
        <v>1862</v>
      </c>
      <c r="B1007" s="125" t="s">
        <v>1130</v>
      </c>
      <c r="C1007" s="122" t="s">
        <v>1053</v>
      </c>
      <c r="D1007" s="389">
        <f>323.87*1.05</f>
        <v>340.06</v>
      </c>
      <c r="E1007" s="14">
        <f>D1007*20%</f>
        <v>68.010000000000005</v>
      </c>
      <c r="F1007" s="97">
        <f>D1007+E1007</f>
        <v>408.07</v>
      </c>
      <c r="EH1007" s="3"/>
      <c r="GS1007" s="3"/>
      <c r="GT1007" s="4"/>
      <c r="GU1007" s="4"/>
      <c r="GV1007" s="4"/>
      <c r="GW1007" s="4"/>
      <c r="GX1007" s="4"/>
      <c r="GY1007" s="4"/>
      <c r="GZ1007" s="4"/>
      <c r="HA1007" s="4"/>
      <c r="HM1007">
        <v>382.16</v>
      </c>
      <c r="IT1007">
        <f>HM1007/1.18</f>
        <v>323.86440677966101</v>
      </c>
      <c r="IU1007" s="359">
        <f>148.44*1.04</f>
        <v>154.38</v>
      </c>
      <c r="IV1007" s="123">
        <f>154.38*1.045</f>
        <v>161.33000000000001</v>
      </c>
    </row>
    <row r="1008" spans="1:256" ht="47.25" customHeight="1" x14ac:dyDescent="0.2">
      <c r="A1008" s="121" t="s">
        <v>1863</v>
      </c>
      <c r="B1008" s="397" t="s">
        <v>1133</v>
      </c>
      <c r="C1008" s="122" t="s">
        <v>1053</v>
      </c>
      <c r="D1008" s="389">
        <f>114.62*1.05</f>
        <v>120.35</v>
      </c>
      <c r="E1008" s="14">
        <f>D1008*20%</f>
        <v>24.07</v>
      </c>
      <c r="F1008" s="97">
        <f>D1008+E1008</f>
        <v>144.41999999999999</v>
      </c>
      <c r="EH1008" s="3"/>
      <c r="GS1008" s="3"/>
      <c r="GT1008" s="4"/>
      <c r="GU1008" s="4"/>
      <c r="GV1008" s="4"/>
      <c r="GW1008" s="4"/>
      <c r="GX1008" s="4"/>
      <c r="GY1008" s="4"/>
      <c r="GZ1008" s="4"/>
      <c r="HA1008" s="4"/>
      <c r="IU1008" s="359">
        <f>105.46*1.04</f>
        <v>109.68</v>
      </c>
      <c r="IV1008" s="123">
        <f>109.68*1.045</f>
        <v>114.62</v>
      </c>
    </row>
    <row r="1009" spans="1:256" ht="15.75" x14ac:dyDescent="0.25">
      <c r="A1009" s="121" t="s">
        <v>1864</v>
      </c>
      <c r="B1009" s="128" t="s">
        <v>1134</v>
      </c>
      <c r="C1009" s="122" t="s">
        <v>1053</v>
      </c>
      <c r="D1009" s="389">
        <f>375.25*1.05</f>
        <v>394.01</v>
      </c>
      <c r="E1009" s="14">
        <f>D1009*20%</f>
        <v>78.8</v>
      </c>
      <c r="F1009" s="97">
        <f>D1009+E1009</f>
        <v>472.81</v>
      </c>
      <c r="EH1009" s="3"/>
      <c r="GS1009" s="3"/>
      <c r="GT1009" s="4"/>
      <c r="GU1009" s="4"/>
      <c r="GV1009" s="4"/>
      <c r="GW1009" s="4"/>
      <c r="GX1009" s="4"/>
      <c r="GY1009" s="4"/>
      <c r="GZ1009" s="4"/>
      <c r="HA1009" s="4"/>
    </row>
    <row r="1010" spans="1:256" ht="34.5" customHeight="1" x14ac:dyDescent="0.2">
      <c r="A1010" s="121" t="s">
        <v>1865</v>
      </c>
      <c r="B1010" s="397" t="s">
        <v>1135</v>
      </c>
      <c r="C1010" s="122" t="s">
        <v>1053</v>
      </c>
      <c r="D1010" s="389">
        <f>267*1.05</f>
        <v>280.35000000000002</v>
      </c>
      <c r="E1010" s="14">
        <f>D1010*20%</f>
        <v>56.07</v>
      </c>
      <c r="F1010" s="97">
        <f>D1010+E1010</f>
        <v>336.42</v>
      </c>
      <c r="EH1010" s="3"/>
      <c r="GS1010" s="3"/>
      <c r="GT1010" s="4"/>
      <c r="GU1010" s="4"/>
      <c r="GV1010" s="4"/>
      <c r="GW1010" s="4"/>
      <c r="GX1010" s="4"/>
      <c r="GY1010" s="4"/>
      <c r="GZ1010" s="4"/>
      <c r="HA1010" s="4"/>
      <c r="HM1010">
        <v>315.06</v>
      </c>
      <c r="IT1010">
        <f>HM1010/1.18</f>
        <v>267</v>
      </c>
      <c r="IU1010" s="359">
        <f>93.76*1.04</f>
        <v>97.51</v>
      </c>
      <c r="IV1010" s="123">
        <f>97.51*1.045</f>
        <v>101.9</v>
      </c>
    </row>
    <row r="1011" spans="1:256" ht="15.75" x14ac:dyDescent="0.2">
      <c r="A1011" s="121" t="s">
        <v>1866</v>
      </c>
      <c r="B1011" s="430" t="s">
        <v>1136</v>
      </c>
      <c r="C1011" s="430"/>
      <c r="D1011" s="430"/>
      <c r="E1011" s="430"/>
      <c r="F1011" s="430"/>
      <c r="EH1011" s="3"/>
      <c r="GS1011" s="3"/>
      <c r="GT1011" s="4"/>
      <c r="GU1011" s="4"/>
      <c r="GV1011" s="4"/>
      <c r="GW1011" s="4"/>
      <c r="GX1011" s="4"/>
      <c r="GY1011" s="4"/>
      <c r="GZ1011" s="4"/>
      <c r="HA1011" s="4"/>
    </row>
    <row r="1012" spans="1:256" ht="15.75" x14ac:dyDescent="0.25">
      <c r="A1012" s="126" t="s">
        <v>1867</v>
      </c>
      <c r="B1012" s="125" t="s">
        <v>1137</v>
      </c>
      <c r="C1012" s="122" t="s">
        <v>1053</v>
      </c>
      <c r="D1012" s="389">
        <f>221.82*1.05</f>
        <v>232.91</v>
      </c>
      <c r="E1012" s="14">
        <f>D1012*20%</f>
        <v>46.58</v>
      </c>
      <c r="F1012" s="97">
        <f>D1012+E1012</f>
        <v>279.49</v>
      </c>
      <c r="EH1012" s="3"/>
      <c r="GS1012" s="3"/>
      <c r="GT1012" s="4"/>
      <c r="GU1012" s="4"/>
      <c r="GV1012" s="4"/>
      <c r="GW1012" s="4"/>
      <c r="GX1012" s="4"/>
      <c r="GY1012" s="4"/>
      <c r="GZ1012" s="4"/>
      <c r="HA1012" s="4"/>
    </row>
    <row r="1013" spans="1:256" ht="15.75" x14ac:dyDescent="0.25">
      <c r="A1013" s="126" t="s">
        <v>1868</v>
      </c>
      <c r="B1013" s="125" t="s">
        <v>1138</v>
      </c>
      <c r="C1013" s="122" t="s">
        <v>1053</v>
      </c>
      <c r="D1013" s="389">
        <f>155.2*1.05</f>
        <v>162.96</v>
      </c>
      <c r="E1013" s="14">
        <f>D1013*20%</f>
        <v>32.590000000000003</v>
      </c>
      <c r="F1013" s="97">
        <f>D1013+E1013</f>
        <v>195.55</v>
      </c>
      <c r="EH1013" s="3"/>
      <c r="GS1013" s="3"/>
      <c r="GT1013" s="4"/>
      <c r="GU1013" s="4"/>
      <c r="GV1013" s="4"/>
      <c r="GW1013" s="4"/>
      <c r="GX1013" s="4"/>
      <c r="GY1013" s="4"/>
      <c r="GZ1013" s="4"/>
      <c r="HA1013" s="4"/>
      <c r="HM1013">
        <v>183.14</v>
      </c>
      <c r="IT1013">
        <f>HM1013/1.18</f>
        <v>155.203389830508</v>
      </c>
      <c r="IU1013" s="359">
        <f>67.75*1.04</f>
        <v>70.459999999999994</v>
      </c>
      <c r="IV1013" s="123">
        <f>70.46*1.045</f>
        <v>73.63</v>
      </c>
    </row>
    <row r="1014" spans="1:256" ht="15.75" x14ac:dyDescent="0.25">
      <c r="A1014" s="126" t="s">
        <v>1869</v>
      </c>
      <c r="B1014" s="125" t="s">
        <v>1139</v>
      </c>
      <c r="C1014" s="122" t="s">
        <v>1053</v>
      </c>
      <c r="D1014" s="389">
        <f>157.49*1.05</f>
        <v>165.36</v>
      </c>
      <c r="E1014" s="14">
        <f>D1014*20%</f>
        <v>33.07</v>
      </c>
      <c r="F1014" s="97">
        <f>D1014+E1014</f>
        <v>198.43</v>
      </c>
      <c r="EH1014" s="3"/>
      <c r="GS1014" s="3"/>
      <c r="GT1014" s="4"/>
      <c r="GU1014" s="4"/>
      <c r="GV1014" s="4"/>
      <c r="GW1014" s="4"/>
      <c r="GX1014" s="4"/>
      <c r="GY1014" s="4"/>
      <c r="GZ1014" s="4"/>
      <c r="HA1014" s="4"/>
      <c r="HM1014">
        <v>185.84</v>
      </c>
      <c r="IT1014">
        <f>HM1014/1.18</f>
        <v>157.491525423729</v>
      </c>
      <c r="IU1014" s="359">
        <f>118.84*1.04</f>
        <v>123.59</v>
      </c>
      <c r="IV1014" s="123">
        <f>123.59*1.045</f>
        <v>129.15</v>
      </c>
    </row>
    <row r="1015" spans="1:256" ht="40.5" customHeight="1" x14ac:dyDescent="0.25">
      <c r="A1015" s="121" t="s">
        <v>1870</v>
      </c>
      <c r="B1015" s="128" t="s">
        <v>1140</v>
      </c>
      <c r="C1015" s="122" t="s">
        <v>1053</v>
      </c>
      <c r="D1015" s="389">
        <f>47.31*1.05</f>
        <v>49.68</v>
      </c>
      <c r="E1015" s="14">
        <f>D1015*20%</f>
        <v>9.94</v>
      </c>
      <c r="F1015" s="97">
        <f>D1015+E1015</f>
        <v>59.62</v>
      </c>
      <c r="EH1015" s="3"/>
      <c r="GS1015" s="3"/>
      <c r="GT1015" s="4"/>
      <c r="GU1015" s="4"/>
      <c r="GV1015" s="4"/>
      <c r="GW1015" s="4"/>
      <c r="GX1015" s="4"/>
      <c r="GY1015" s="4"/>
      <c r="GZ1015" s="4"/>
      <c r="HA1015" s="4"/>
      <c r="IU1015" s="359">
        <f>43.53*1.04</f>
        <v>45.27</v>
      </c>
      <c r="IV1015" s="123">
        <f>45.27*1.045</f>
        <v>47.31</v>
      </c>
    </row>
    <row r="1016" spans="1:256" ht="43.5" customHeight="1" x14ac:dyDescent="0.25">
      <c r="A1016" s="121" t="s">
        <v>1871</v>
      </c>
      <c r="B1016" s="128" t="s">
        <v>1141</v>
      </c>
      <c r="C1016" s="122" t="s">
        <v>1053</v>
      </c>
      <c r="D1016" s="389">
        <f>149.06*1.05</f>
        <v>156.51</v>
      </c>
      <c r="E1016" s="14">
        <f>D1016*20%</f>
        <v>31.3</v>
      </c>
      <c r="F1016" s="97">
        <f>D1016+E1016</f>
        <v>187.81</v>
      </c>
      <c r="EH1016" s="3"/>
      <c r="GS1016" s="3"/>
      <c r="GT1016" s="4"/>
      <c r="GU1016" s="4"/>
      <c r="GV1016" s="4"/>
      <c r="GW1016" s="4"/>
      <c r="GX1016" s="4"/>
      <c r="GY1016" s="4"/>
      <c r="GZ1016" s="4"/>
      <c r="HA1016" s="4"/>
      <c r="IU1016" s="359">
        <f>137.15*1.04</f>
        <v>142.63999999999999</v>
      </c>
      <c r="IV1016" s="123">
        <f>142.64*1.045</f>
        <v>149.06</v>
      </c>
    </row>
    <row r="1017" spans="1:256" ht="24" customHeight="1" x14ac:dyDescent="0.2">
      <c r="A1017" s="121" t="s">
        <v>1872</v>
      </c>
      <c r="B1017" s="430" t="s">
        <v>1142</v>
      </c>
      <c r="C1017" s="430"/>
      <c r="D1017" s="430"/>
      <c r="E1017" s="430"/>
      <c r="F1017" s="430"/>
      <c r="EH1017" s="3"/>
      <c r="GS1017" s="3"/>
      <c r="GT1017" s="4"/>
      <c r="GU1017" s="4"/>
      <c r="GV1017" s="4"/>
      <c r="GW1017" s="4"/>
      <c r="GX1017" s="4"/>
      <c r="GY1017" s="4"/>
      <c r="GZ1017" s="4"/>
      <c r="HA1017" s="4"/>
    </row>
    <row r="1018" spans="1:256" ht="21.75" customHeight="1" x14ac:dyDescent="0.2">
      <c r="A1018" s="126" t="s">
        <v>1873</v>
      </c>
      <c r="B1018" s="381" t="s">
        <v>1143</v>
      </c>
      <c r="C1018" s="122" t="s">
        <v>1053</v>
      </c>
      <c r="D1018" s="389">
        <f>108.79*1.05</f>
        <v>114.23</v>
      </c>
      <c r="E1018" s="14">
        <f t="shared" ref="E1018:E1051" si="93">D1018*20%</f>
        <v>22.85</v>
      </c>
      <c r="F1018" s="97">
        <f t="shared" ref="F1018:F1059" si="94">D1018+E1018</f>
        <v>137.08000000000001</v>
      </c>
      <c r="EH1018" s="3"/>
      <c r="GS1018" s="3"/>
      <c r="GT1018" s="4"/>
      <c r="GU1018" s="4"/>
      <c r="GV1018" s="4"/>
      <c r="GW1018" s="4"/>
      <c r="GX1018" s="4"/>
      <c r="GY1018" s="4"/>
      <c r="GZ1018" s="4"/>
      <c r="HA1018" s="4"/>
      <c r="IU1018" s="359">
        <f>100.11*1.04</f>
        <v>104.11</v>
      </c>
      <c r="IV1018" s="123">
        <f>104.11*1.045</f>
        <v>108.79</v>
      </c>
    </row>
    <row r="1019" spans="1:256" ht="23.25" customHeight="1" x14ac:dyDescent="0.2">
      <c r="A1019" s="126" t="s">
        <v>1874</v>
      </c>
      <c r="B1019" s="381" t="s">
        <v>1060</v>
      </c>
      <c r="C1019" s="122" t="s">
        <v>1053</v>
      </c>
      <c r="D1019" s="389">
        <f>69.58*1.05</f>
        <v>73.06</v>
      </c>
      <c r="E1019" s="14">
        <f t="shared" si="93"/>
        <v>14.61</v>
      </c>
      <c r="F1019" s="97">
        <f>D1019+E1019</f>
        <v>87.67</v>
      </c>
      <c r="EH1019" s="3"/>
      <c r="GS1019" s="3"/>
      <c r="GT1019" s="4"/>
      <c r="GU1019" s="4"/>
      <c r="GV1019" s="4"/>
      <c r="GW1019" s="4"/>
      <c r="GX1019" s="4"/>
      <c r="GY1019" s="4"/>
      <c r="GZ1019" s="4"/>
      <c r="HA1019" s="4"/>
      <c r="HM1019">
        <v>82.1</v>
      </c>
      <c r="IT1019">
        <f>HM1019/1.18</f>
        <v>69.576271186440707</v>
      </c>
      <c r="IU1019" s="359">
        <f>42.45*1.04</f>
        <v>44.15</v>
      </c>
      <c r="IV1019" s="123">
        <f>44.15*1.045</f>
        <v>46.14</v>
      </c>
    </row>
    <row r="1020" spans="1:256" ht="39" customHeight="1" x14ac:dyDescent="0.2">
      <c r="A1020" s="126" t="s">
        <v>1875</v>
      </c>
      <c r="B1020" s="381" t="s">
        <v>1144</v>
      </c>
      <c r="C1020" s="122" t="s">
        <v>1053</v>
      </c>
      <c r="D1020" s="389">
        <f>92.52*1.05</f>
        <v>97.15</v>
      </c>
      <c r="E1020" s="14">
        <f t="shared" si="93"/>
        <v>19.43</v>
      </c>
      <c r="F1020" s="97">
        <f>D1020+E1020</f>
        <v>116.58</v>
      </c>
      <c r="EH1020" s="3"/>
      <c r="GS1020" s="3"/>
      <c r="GT1020" s="4"/>
      <c r="GU1020" s="4"/>
      <c r="GV1020" s="4"/>
      <c r="GW1020" s="4"/>
      <c r="GX1020" s="4"/>
      <c r="GY1020" s="4"/>
      <c r="GZ1020" s="4"/>
      <c r="HA1020" s="4"/>
      <c r="IU1020" s="359">
        <f>85.13*1.04</f>
        <v>88.54</v>
      </c>
      <c r="IV1020" s="123">
        <f>88.54*1.045</f>
        <v>92.52</v>
      </c>
    </row>
    <row r="1021" spans="1:256" ht="55.5" customHeight="1" x14ac:dyDescent="0.2">
      <c r="A1021" s="121" t="s">
        <v>1876</v>
      </c>
      <c r="B1021" s="397" t="s">
        <v>1145</v>
      </c>
      <c r="C1021" s="122" t="s">
        <v>1053</v>
      </c>
      <c r="D1021" s="389">
        <f>469.07*1.05</f>
        <v>492.52</v>
      </c>
      <c r="E1021" s="14">
        <f t="shared" si="93"/>
        <v>98.5</v>
      </c>
      <c r="F1021" s="97">
        <f>D1021+E1021</f>
        <v>591.02</v>
      </c>
      <c r="EH1021" s="3" t="s">
        <v>1054</v>
      </c>
      <c r="GS1021" s="3"/>
      <c r="GT1021" s="4"/>
      <c r="GU1021" s="4"/>
      <c r="GV1021" s="4"/>
      <c r="GW1021" s="4"/>
      <c r="GX1021" s="4"/>
      <c r="GY1021" s="4"/>
      <c r="GZ1021" s="4"/>
      <c r="HA1021" s="4"/>
    </row>
    <row r="1022" spans="1:256" ht="47.25" customHeight="1" x14ac:dyDescent="0.2">
      <c r="A1022" s="121" t="s">
        <v>1877</v>
      </c>
      <c r="B1022" s="397" t="s">
        <v>2047</v>
      </c>
      <c r="C1022" s="122" t="s">
        <v>1053</v>
      </c>
      <c r="D1022" s="389">
        <f>437.31*1.05</f>
        <v>459.18</v>
      </c>
      <c r="E1022" s="14">
        <f t="shared" si="93"/>
        <v>91.84</v>
      </c>
      <c r="F1022" s="97">
        <f>D1022+E1022</f>
        <v>551.02</v>
      </c>
      <c r="EH1022" s="3" t="s">
        <v>1054</v>
      </c>
      <c r="GS1022" s="3"/>
      <c r="GT1022" s="4"/>
      <c r="GU1022" s="4"/>
      <c r="GV1022" s="4"/>
      <c r="GW1022" s="4"/>
      <c r="GX1022" s="4"/>
      <c r="GY1022" s="4"/>
      <c r="GZ1022" s="4"/>
      <c r="HA1022" s="4"/>
    </row>
    <row r="1023" spans="1:256" ht="54.75" customHeight="1" x14ac:dyDescent="0.2">
      <c r="A1023" s="121" t="s">
        <v>1878</v>
      </c>
      <c r="B1023" s="397" t="s">
        <v>1147</v>
      </c>
      <c r="C1023" s="122" t="s">
        <v>1053</v>
      </c>
      <c r="D1023" s="389">
        <f>106.13*1.05</f>
        <v>111.44</v>
      </c>
      <c r="E1023" s="14">
        <f t="shared" si="93"/>
        <v>22.29</v>
      </c>
      <c r="F1023" s="97">
        <f t="shared" si="94"/>
        <v>133.72999999999999</v>
      </c>
      <c r="EH1023" s="3"/>
      <c r="GS1023" s="3"/>
      <c r="GT1023" s="4"/>
      <c r="GU1023" s="4"/>
      <c r="GV1023" s="4"/>
      <c r="GW1023" s="4"/>
      <c r="GX1023" s="4"/>
      <c r="GY1023" s="4"/>
      <c r="GZ1023" s="4"/>
      <c r="HA1023" s="4"/>
      <c r="IU1023" s="359">
        <f>97.65*1.04</f>
        <v>101.56</v>
      </c>
      <c r="IV1023" s="123">
        <f>101.56*1.045</f>
        <v>106.13</v>
      </c>
    </row>
    <row r="1024" spans="1:256" ht="31.5" x14ac:dyDescent="0.2">
      <c r="A1024" s="121" t="s">
        <v>1879</v>
      </c>
      <c r="B1024" s="397" t="s">
        <v>1148</v>
      </c>
      <c r="C1024" s="122" t="s">
        <v>1053</v>
      </c>
      <c r="D1024" s="389">
        <f>64.75*1.05</f>
        <v>67.989999999999995</v>
      </c>
      <c r="E1024" s="14">
        <f t="shared" si="93"/>
        <v>13.6</v>
      </c>
      <c r="F1024" s="97">
        <f t="shared" si="94"/>
        <v>81.59</v>
      </c>
      <c r="EH1024" s="3"/>
      <c r="GS1024" s="3"/>
      <c r="GT1024" s="4"/>
      <c r="GU1024" s="4"/>
      <c r="GV1024" s="4"/>
      <c r="GW1024" s="4"/>
      <c r="GX1024" s="4"/>
      <c r="GY1024" s="4"/>
      <c r="GZ1024" s="4"/>
      <c r="HA1024" s="4"/>
      <c r="HM1024">
        <v>76.400000000000006</v>
      </c>
      <c r="IT1024">
        <f>HM1024/1.18</f>
        <v>64.745762711864401</v>
      </c>
      <c r="IU1024" s="359">
        <f>29.66*1.04</f>
        <v>30.85</v>
      </c>
      <c r="IV1024" s="123">
        <f>30.85*1.045</f>
        <v>32.24</v>
      </c>
    </row>
    <row r="1025" spans="1:256" ht="40.5" customHeight="1" x14ac:dyDescent="0.2">
      <c r="A1025" s="121" t="s">
        <v>1880</v>
      </c>
      <c r="B1025" s="397" t="s">
        <v>1149</v>
      </c>
      <c r="C1025" s="122" t="s">
        <v>1053</v>
      </c>
      <c r="D1025" s="389">
        <f>135.87*1.05</f>
        <v>142.66</v>
      </c>
      <c r="E1025" s="14">
        <f t="shared" si="93"/>
        <v>28.53</v>
      </c>
      <c r="F1025" s="97">
        <f t="shared" si="94"/>
        <v>171.19</v>
      </c>
      <c r="EH1025" s="3"/>
      <c r="GS1025" s="3"/>
      <c r="GT1025" s="4"/>
      <c r="GU1025" s="4"/>
      <c r="GV1025" s="4"/>
      <c r="GW1025" s="4"/>
      <c r="GX1025" s="4"/>
      <c r="GY1025" s="4"/>
      <c r="GZ1025" s="4"/>
      <c r="HA1025" s="4"/>
      <c r="HM1025">
        <v>160.32</v>
      </c>
      <c r="IT1025">
        <f>HM1025/1.18</f>
        <v>135.86440677966101</v>
      </c>
      <c r="IU1025" s="359">
        <f>106.19*1.04</f>
        <v>110.44</v>
      </c>
      <c r="IV1025" s="123">
        <f>110.44*1.045</f>
        <v>115.41</v>
      </c>
    </row>
    <row r="1026" spans="1:256" ht="24" customHeight="1" x14ac:dyDescent="0.2">
      <c r="A1026" s="121" t="s">
        <v>1881</v>
      </c>
      <c r="B1026" s="397" t="s">
        <v>1150</v>
      </c>
      <c r="C1026" s="122" t="s">
        <v>1053</v>
      </c>
      <c r="D1026" s="389">
        <f>794.9*1.05</f>
        <v>834.65</v>
      </c>
      <c r="E1026" s="14">
        <f t="shared" si="93"/>
        <v>166.93</v>
      </c>
      <c r="F1026" s="97">
        <f>D1026+E1026</f>
        <v>1001.58</v>
      </c>
      <c r="EH1026" s="3"/>
      <c r="GS1026" s="3"/>
      <c r="GT1026" s="4"/>
      <c r="GU1026" s="4"/>
      <c r="GV1026" s="4"/>
      <c r="GW1026" s="4"/>
      <c r="GX1026" s="4"/>
      <c r="GY1026" s="4"/>
      <c r="GZ1026" s="4"/>
      <c r="HA1026" s="4"/>
      <c r="HM1026">
        <v>937.97</v>
      </c>
      <c r="IT1026">
        <f>HM1026/1.18</f>
        <v>794.88983050847503</v>
      </c>
      <c r="IU1026" s="359">
        <f>601.35*1.04</f>
        <v>625.4</v>
      </c>
      <c r="IV1026" s="123">
        <f>625.4*1.045</f>
        <v>653.54</v>
      </c>
    </row>
    <row r="1027" spans="1:256" ht="31.5" x14ac:dyDescent="0.2">
      <c r="A1027" s="121" t="s">
        <v>1882</v>
      </c>
      <c r="B1027" s="397" t="s">
        <v>2048</v>
      </c>
      <c r="C1027" s="122" t="s">
        <v>1053</v>
      </c>
      <c r="D1027" s="389">
        <f>204.43*1.05</f>
        <v>214.65</v>
      </c>
      <c r="E1027" s="14">
        <f t="shared" si="93"/>
        <v>42.93</v>
      </c>
      <c r="F1027" s="97">
        <f>D1027+E1027</f>
        <v>257.58</v>
      </c>
      <c r="EH1027" s="3"/>
      <c r="GS1027" s="3"/>
      <c r="GT1027" s="4"/>
      <c r="GU1027" s="4"/>
      <c r="GV1027" s="4"/>
      <c r="GW1027" s="4"/>
      <c r="GX1027" s="4"/>
      <c r="GY1027" s="4"/>
      <c r="GZ1027" s="4"/>
      <c r="HA1027" s="4"/>
      <c r="IU1027" s="359">
        <f>917.85*1.04</f>
        <v>954.56</v>
      </c>
      <c r="IV1027" s="123">
        <f>954.56*1.045</f>
        <v>997.52</v>
      </c>
    </row>
    <row r="1028" spans="1:256" ht="41.25" customHeight="1" x14ac:dyDescent="0.2">
      <c r="A1028" s="121" t="s">
        <v>1883</v>
      </c>
      <c r="B1028" s="397" t="s">
        <v>1152</v>
      </c>
      <c r="C1028" s="122" t="s">
        <v>1053</v>
      </c>
      <c r="D1028" s="389">
        <f>476.06*1.05</f>
        <v>499.86</v>
      </c>
      <c r="E1028" s="14">
        <f t="shared" si="93"/>
        <v>99.97</v>
      </c>
      <c r="F1028" s="97">
        <f t="shared" si="94"/>
        <v>599.83000000000004</v>
      </c>
      <c r="EH1028" s="3"/>
      <c r="GS1028" s="3"/>
      <c r="GT1028" s="4"/>
      <c r="GU1028" s="4"/>
      <c r="GV1028" s="4"/>
      <c r="GW1028" s="4"/>
      <c r="GX1028" s="4"/>
      <c r="GY1028" s="4"/>
      <c r="GZ1028" s="4"/>
      <c r="HA1028" s="4"/>
      <c r="IU1028" s="359">
        <f>438.04*1.04</f>
        <v>455.56</v>
      </c>
      <c r="IV1028" s="123">
        <f>455.56*1.045</f>
        <v>476.06</v>
      </c>
    </row>
    <row r="1029" spans="1:256" ht="40.5" customHeight="1" x14ac:dyDescent="0.2">
      <c r="A1029" s="121" t="s">
        <v>1884</v>
      </c>
      <c r="B1029" s="397" t="s">
        <v>1153</v>
      </c>
      <c r="C1029" s="122" t="s">
        <v>1053</v>
      </c>
      <c r="D1029" s="389">
        <f>441.58*1.05</f>
        <v>463.66</v>
      </c>
      <c r="E1029" s="14">
        <f t="shared" si="93"/>
        <v>92.73</v>
      </c>
      <c r="F1029" s="97">
        <f>D1029+E1029</f>
        <v>556.39</v>
      </c>
      <c r="EH1029" s="3"/>
      <c r="GS1029" s="3"/>
      <c r="GT1029" s="4"/>
      <c r="GU1029" s="4"/>
      <c r="GV1029" s="4"/>
      <c r="GW1029" s="4"/>
      <c r="GX1029" s="4"/>
      <c r="GY1029" s="4"/>
      <c r="GZ1029" s="4"/>
      <c r="HA1029" s="4"/>
      <c r="IU1029" s="359">
        <v>422.56</v>
      </c>
      <c r="IV1029" s="123">
        <f>422.56*1.045</f>
        <v>441.58</v>
      </c>
    </row>
    <row r="1030" spans="1:256" ht="30" customHeight="1" x14ac:dyDescent="0.2">
      <c r="A1030" s="121" t="s">
        <v>1885</v>
      </c>
      <c r="B1030" s="397" t="s">
        <v>1154</v>
      </c>
      <c r="C1030" s="122" t="s">
        <v>1053</v>
      </c>
      <c r="D1030" s="389">
        <f>93.21*1.05</f>
        <v>97.87</v>
      </c>
      <c r="E1030" s="14">
        <f t="shared" si="93"/>
        <v>19.57</v>
      </c>
      <c r="F1030" s="97">
        <f>D1030+E1030</f>
        <v>117.44</v>
      </c>
      <c r="EH1030" s="3"/>
      <c r="GS1030" s="3"/>
      <c r="GT1030" s="4"/>
      <c r="GU1030" s="4"/>
      <c r="GV1030" s="4"/>
      <c r="GW1030" s="4"/>
      <c r="GX1030" s="4"/>
      <c r="GY1030" s="4"/>
      <c r="GZ1030" s="4"/>
      <c r="HA1030" s="4"/>
      <c r="IU1030" s="359">
        <v>89.2</v>
      </c>
      <c r="IV1030" s="123">
        <f>89.2*1.045</f>
        <v>93.21</v>
      </c>
    </row>
    <row r="1031" spans="1:256" ht="49.5" customHeight="1" x14ac:dyDescent="0.2">
      <c r="A1031" s="121" t="s">
        <v>1886</v>
      </c>
      <c r="B1031" s="397" t="s">
        <v>1155</v>
      </c>
      <c r="C1031" s="122" t="s">
        <v>1053</v>
      </c>
      <c r="D1031" s="389">
        <f>382.1*1.05</f>
        <v>401.21</v>
      </c>
      <c r="E1031" s="14">
        <f t="shared" si="93"/>
        <v>80.239999999999995</v>
      </c>
      <c r="F1031" s="97">
        <f t="shared" si="94"/>
        <v>481.45</v>
      </c>
      <c r="EH1031" s="3"/>
      <c r="GS1031" s="3"/>
      <c r="GT1031" s="4"/>
      <c r="GU1031" s="4"/>
      <c r="GV1031" s="4"/>
      <c r="GW1031" s="4"/>
      <c r="GX1031" s="4"/>
      <c r="GY1031" s="4"/>
      <c r="GZ1031" s="4"/>
      <c r="HA1031" s="4"/>
      <c r="IU1031" s="359">
        <f>351.59*1.04</f>
        <v>365.65</v>
      </c>
      <c r="IV1031" s="123">
        <f>365.65*1.045</f>
        <v>382.1</v>
      </c>
    </row>
    <row r="1032" spans="1:256" ht="66.75" customHeight="1" x14ac:dyDescent="0.2">
      <c r="A1032" s="121" t="s">
        <v>1887</v>
      </c>
      <c r="B1032" s="397" t="s">
        <v>1156</v>
      </c>
      <c r="C1032" s="122" t="s">
        <v>1053</v>
      </c>
      <c r="D1032" s="389">
        <f>293.93*1.05</f>
        <v>308.63</v>
      </c>
      <c r="E1032" s="14">
        <f t="shared" si="93"/>
        <v>61.73</v>
      </c>
      <c r="F1032" s="97">
        <f t="shared" si="94"/>
        <v>370.36</v>
      </c>
      <c r="EH1032" s="3"/>
      <c r="GS1032" s="3"/>
      <c r="GT1032" s="4"/>
      <c r="GU1032" s="4"/>
      <c r="GV1032" s="4"/>
      <c r="GW1032" s="4"/>
      <c r="GX1032" s="4"/>
      <c r="GY1032" s="4"/>
      <c r="GZ1032" s="4"/>
      <c r="HA1032" s="4"/>
      <c r="IU1032" s="359">
        <f>270.45*1.04</f>
        <v>281.27</v>
      </c>
      <c r="IV1032" s="123">
        <f>281.27*1.045</f>
        <v>293.93</v>
      </c>
    </row>
    <row r="1033" spans="1:256" ht="54" customHeight="1" x14ac:dyDescent="0.2">
      <c r="A1033" s="121" t="s">
        <v>1888</v>
      </c>
      <c r="B1033" s="397" t="s">
        <v>1157</v>
      </c>
      <c r="C1033" s="122" t="s">
        <v>1053</v>
      </c>
      <c r="D1033" s="389">
        <f>115.58*1.05</f>
        <v>121.36</v>
      </c>
      <c r="E1033" s="14">
        <f t="shared" si="93"/>
        <v>24.27</v>
      </c>
      <c r="F1033" s="97">
        <f t="shared" si="94"/>
        <v>145.63</v>
      </c>
      <c r="EH1033" s="3"/>
      <c r="GS1033" s="3"/>
      <c r="GT1033" s="4"/>
      <c r="GU1033" s="4"/>
      <c r="GV1033" s="4"/>
      <c r="GW1033" s="4"/>
      <c r="GX1033" s="4"/>
      <c r="GY1033" s="4"/>
      <c r="GZ1033" s="4"/>
      <c r="HA1033" s="4"/>
      <c r="IU1033" s="359">
        <f>106.35*1.04</f>
        <v>110.6</v>
      </c>
      <c r="IV1033" s="123">
        <f>110.6*1.045</f>
        <v>115.58</v>
      </c>
    </row>
    <row r="1034" spans="1:256" ht="54.75" customHeight="1" x14ac:dyDescent="0.2">
      <c r="A1034" s="121" t="s">
        <v>1889</v>
      </c>
      <c r="B1034" s="397" t="s">
        <v>1158</v>
      </c>
      <c r="C1034" s="122" t="s">
        <v>1026</v>
      </c>
      <c r="D1034" s="389">
        <f>1017.2*1.05</f>
        <v>1068.06</v>
      </c>
      <c r="E1034" s="14">
        <f t="shared" si="93"/>
        <v>213.61</v>
      </c>
      <c r="F1034" s="97">
        <f t="shared" si="94"/>
        <v>1281.67</v>
      </c>
      <c r="EH1034" s="3"/>
      <c r="GS1034" s="3"/>
      <c r="GT1034" s="4"/>
      <c r="GU1034" s="4"/>
      <c r="GV1034" s="4"/>
      <c r="GW1034" s="4"/>
      <c r="GX1034" s="4"/>
      <c r="GY1034" s="4"/>
      <c r="GZ1034" s="4"/>
      <c r="HA1034" s="4"/>
      <c r="HM1034">
        <v>1200.3</v>
      </c>
      <c r="IT1034">
        <f>HM1034/1.18</f>
        <v>1017.20338983051</v>
      </c>
      <c r="IU1034" s="359">
        <f>538.05*1.04</f>
        <v>559.57000000000005</v>
      </c>
      <c r="IV1034" s="123">
        <f>559.57*1.045</f>
        <v>584.75</v>
      </c>
    </row>
    <row r="1035" spans="1:256" ht="78" customHeight="1" x14ac:dyDescent="0.2">
      <c r="A1035" s="121" t="s">
        <v>1890</v>
      </c>
      <c r="B1035" s="403" t="s">
        <v>1159</v>
      </c>
      <c r="C1035" s="122" t="s">
        <v>1053</v>
      </c>
      <c r="D1035" s="389">
        <f>1147.46*1.05</f>
        <v>1204.83</v>
      </c>
      <c r="E1035" s="14">
        <f t="shared" si="93"/>
        <v>240.97</v>
      </c>
      <c r="F1035" s="97">
        <f t="shared" si="94"/>
        <v>1445.8</v>
      </c>
      <c r="EH1035" s="3"/>
      <c r="GS1035" s="3"/>
      <c r="GT1035" s="4"/>
      <c r="GU1035" s="4"/>
      <c r="GV1035" s="4"/>
      <c r="GW1035" s="4"/>
      <c r="GX1035" s="4"/>
      <c r="GY1035" s="4"/>
      <c r="GZ1035" s="4"/>
      <c r="HA1035" s="4"/>
      <c r="IU1035" s="359">
        <f>1055.82*1.04</f>
        <v>1098.05</v>
      </c>
      <c r="IV1035" s="123">
        <f>1098.05*1.045</f>
        <v>1147.46</v>
      </c>
    </row>
    <row r="1036" spans="1:256" ht="32.25" customHeight="1" x14ac:dyDescent="0.25">
      <c r="A1036" s="121" t="s">
        <v>1891</v>
      </c>
      <c r="B1036" s="128" t="s">
        <v>1160</v>
      </c>
      <c r="C1036" s="122" t="s">
        <v>1053</v>
      </c>
      <c r="D1036" s="389">
        <f>136.27*1.05</f>
        <v>143.08000000000001</v>
      </c>
      <c r="E1036" s="14">
        <f t="shared" si="93"/>
        <v>28.62</v>
      </c>
      <c r="F1036" s="97">
        <f t="shared" si="94"/>
        <v>171.7</v>
      </c>
      <c r="EH1036" s="3"/>
      <c r="GS1036" s="3"/>
      <c r="GT1036" s="4"/>
      <c r="GU1036" s="4"/>
      <c r="GV1036" s="4"/>
      <c r="GW1036" s="4"/>
      <c r="GX1036" s="4"/>
      <c r="GY1036" s="4"/>
      <c r="GZ1036" s="4"/>
      <c r="HA1036" s="4"/>
      <c r="HM1036">
        <v>160.80000000000001</v>
      </c>
      <c r="IT1036">
        <f>HM1036/1.18</f>
        <v>136.27118644067801</v>
      </c>
      <c r="IU1036" s="359">
        <f>72.36*1.04</f>
        <v>75.25</v>
      </c>
      <c r="IV1036" s="123">
        <f>75.25*1.045</f>
        <v>78.64</v>
      </c>
    </row>
    <row r="1037" spans="1:256" ht="31.5" x14ac:dyDescent="0.2">
      <c r="A1037" s="121" t="s">
        <v>1892</v>
      </c>
      <c r="B1037" s="127" t="s">
        <v>1161</v>
      </c>
      <c r="C1037" s="122" t="s">
        <v>1053</v>
      </c>
      <c r="D1037" s="389">
        <f>370.36*1.05</f>
        <v>388.88</v>
      </c>
      <c r="E1037" s="14">
        <f t="shared" si="93"/>
        <v>77.78</v>
      </c>
      <c r="F1037" s="97">
        <f>D1037+E1037</f>
        <v>466.66</v>
      </c>
      <c r="EH1037" s="3" t="s">
        <v>1054</v>
      </c>
      <c r="GS1037" s="3"/>
      <c r="GT1037" s="4"/>
      <c r="GU1037" s="4"/>
      <c r="GV1037" s="4"/>
      <c r="GW1037" s="4"/>
      <c r="GX1037" s="4"/>
      <c r="GY1037" s="4"/>
      <c r="GZ1037" s="4"/>
      <c r="HA1037" s="4"/>
    </row>
    <row r="1038" spans="1:256" ht="31.5" x14ac:dyDescent="0.25">
      <c r="A1038" s="121" t="s">
        <v>1893</v>
      </c>
      <c r="B1038" s="128" t="s">
        <v>1162</v>
      </c>
      <c r="C1038" s="122" t="s">
        <v>1053</v>
      </c>
      <c r="D1038" s="389">
        <f>439.03*1.05</f>
        <v>460.98</v>
      </c>
      <c r="E1038" s="14">
        <f t="shared" si="93"/>
        <v>92.2</v>
      </c>
      <c r="F1038" s="97">
        <f t="shared" si="94"/>
        <v>553.17999999999995</v>
      </c>
      <c r="EH1038" s="3" t="s">
        <v>1054</v>
      </c>
      <c r="GS1038" s="3"/>
      <c r="GT1038" s="4"/>
      <c r="GU1038" s="4"/>
      <c r="GV1038" s="4"/>
      <c r="GW1038" s="4"/>
      <c r="GX1038" s="4"/>
      <c r="GY1038" s="4"/>
      <c r="GZ1038" s="4"/>
      <c r="HA1038" s="4"/>
    </row>
    <row r="1039" spans="1:256" ht="31.5" x14ac:dyDescent="0.25">
      <c r="A1039" s="121" t="s">
        <v>1894</v>
      </c>
      <c r="B1039" s="128" t="s">
        <v>1163</v>
      </c>
      <c r="C1039" s="122" t="s">
        <v>1053</v>
      </c>
      <c r="D1039" s="389">
        <f>442.18*1.05</f>
        <v>464.29</v>
      </c>
      <c r="E1039" s="14">
        <f t="shared" si="93"/>
        <v>92.86</v>
      </c>
      <c r="F1039" s="97">
        <f>D1039+E1039</f>
        <v>557.15</v>
      </c>
      <c r="EH1039" s="3" t="s">
        <v>1054</v>
      </c>
      <c r="GS1039" s="3"/>
      <c r="GT1039" s="4"/>
      <c r="GU1039" s="4"/>
      <c r="GV1039" s="4"/>
      <c r="GW1039" s="4"/>
      <c r="GX1039" s="4"/>
      <c r="GY1039" s="4"/>
      <c r="GZ1039" s="4"/>
      <c r="HA1039" s="4"/>
    </row>
    <row r="1040" spans="1:256" ht="25.5" customHeight="1" x14ac:dyDescent="0.2">
      <c r="A1040" s="121" t="s">
        <v>1895</v>
      </c>
      <c r="B1040" s="397" t="s">
        <v>1164</v>
      </c>
      <c r="C1040" s="122" t="s">
        <v>1053</v>
      </c>
      <c r="D1040" s="389">
        <f>412.81*1.05</f>
        <v>433.45</v>
      </c>
      <c r="E1040" s="14">
        <f t="shared" si="93"/>
        <v>86.69</v>
      </c>
      <c r="F1040" s="97">
        <f t="shared" si="94"/>
        <v>520.14</v>
      </c>
      <c r="EH1040" s="3"/>
      <c r="GS1040" s="3"/>
      <c r="GT1040" s="4"/>
      <c r="GU1040" s="4"/>
      <c r="GV1040" s="4"/>
      <c r="GW1040" s="4"/>
      <c r="GX1040" s="4"/>
      <c r="GY1040" s="4"/>
      <c r="GZ1040" s="4"/>
      <c r="HA1040" s="4"/>
      <c r="IU1040" s="359">
        <f>379.84*1.04</f>
        <v>395.03</v>
      </c>
      <c r="IV1040" s="123">
        <f>395.03*1.045</f>
        <v>412.81</v>
      </c>
    </row>
    <row r="1041" spans="1:256" ht="37.5" customHeight="1" x14ac:dyDescent="0.2">
      <c r="A1041" s="121" t="s">
        <v>1896</v>
      </c>
      <c r="B1041" s="397" t="s">
        <v>2049</v>
      </c>
      <c r="C1041" s="122" t="s">
        <v>1053</v>
      </c>
      <c r="D1041" s="389">
        <v>430.17</v>
      </c>
      <c r="E1041" s="14">
        <f t="shared" si="93"/>
        <v>86.03</v>
      </c>
      <c r="F1041" s="97">
        <f t="shared" si="94"/>
        <v>516.20000000000005</v>
      </c>
      <c r="EH1041" s="3"/>
      <c r="GS1041" s="3"/>
      <c r="GT1041" s="4"/>
      <c r="GU1041" s="4"/>
      <c r="GV1041" s="4"/>
      <c r="GW1041" s="4"/>
      <c r="GX1041" s="4"/>
      <c r="GY1041" s="4"/>
      <c r="GZ1041" s="4"/>
      <c r="HA1041" s="4"/>
      <c r="IU1041" s="359"/>
      <c r="IV1041" s="123"/>
    </row>
    <row r="1042" spans="1:256" ht="36.75" customHeight="1" x14ac:dyDescent="0.2">
      <c r="A1042" s="121" t="s">
        <v>1897</v>
      </c>
      <c r="B1042" s="397" t="s">
        <v>2050</v>
      </c>
      <c r="C1042" s="122" t="s">
        <v>1053</v>
      </c>
      <c r="D1042" s="389">
        <v>380.55</v>
      </c>
      <c r="E1042" s="14">
        <f t="shared" si="93"/>
        <v>76.11</v>
      </c>
      <c r="F1042" s="97">
        <f t="shared" si="94"/>
        <v>456.66</v>
      </c>
      <c r="EH1042" s="3"/>
      <c r="GS1042" s="3"/>
      <c r="GT1042" s="4"/>
      <c r="GU1042" s="4"/>
      <c r="GV1042" s="4"/>
      <c r="GW1042" s="4"/>
      <c r="GX1042" s="4"/>
      <c r="GY1042" s="4"/>
      <c r="GZ1042" s="4"/>
      <c r="HA1042" s="4"/>
      <c r="IU1042" s="359"/>
      <c r="IV1042" s="123"/>
    </row>
    <row r="1043" spans="1:256" ht="32.25" customHeight="1" x14ac:dyDescent="0.25">
      <c r="A1043" s="121" t="s">
        <v>1898</v>
      </c>
      <c r="B1043" s="401" t="s">
        <v>1165</v>
      </c>
      <c r="C1043" s="122" t="s">
        <v>1053</v>
      </c>
      <c r="D1043" s="389">
        <f>114.73*1.05</f>
        <v>120.47</v>
      </c>
      <c r="E1043" s="14">
        <f t="shared" si="93"/>
        <v>24.09</v>
      </c>
      <c r="F1043" s="97">
        <f>D1043+E1043</f>
        <v>144.56</v>
      </c>
      <c r="EH1043" s="3"/>
      <c r="GS1043" s="3"/>
      <c r="GT1043" s="4"/>
      <c r="GU1043" s="4"/>
      <c r="GV1043" s="4"/>
      <c r="GW1043" s="4"/>
      <c r="GX1043" s="4"/>
      <c r="GY1043" s="4"/>
      <c r="GZ1043" s="4"/>
      <c r="HA1043" s="4"/>
      <c r="IU1043" s="359">
        <f>105.57*1.04</f>
        <v>109.79</v>
      </c>
      <c r="IV1043" s="123">
        <f>109.79*1.045</f>
        <v>114.73</v>
      </c>
    </row>
    <row r="1044" spans="1:256" ht="15.75" x14ac:dyDescent="0.25">
      <c r="A1044" s="121" t="s">
        <v>1899</v>
      </c>
      <c r="B1044" s="401" t="s">
        <v>1166</v>
      </c>
      <c r="C1044" s="122" t="s">
        <v>1053</v>
      </c>
      <c r="D1044" s="389">
        <f>171.99*1.05</f>
        <v>180.59</v>
      </c>
      <c r="E1044" s="14">
        <f t="shared" si="93"/>
        <v>36.119999999999997</v>
      </c>
      <c r="F1044" s="97">
        <f t="shared" si="94"/>
        <v>216.71</v>
      </c>
      <c r="EH1044" s="3"/>
      <c r="GS1044" s="3"/>
      <c r="GT1044" s="4"/>
      <c r="GU1044" s="4"/>
      <c r="GV1044" s="4"/>
      <c r="GW1044" s="4"/>
      <c r="GX1044" s="4"/>
      <c r="GY1044" s="4"/>
      <c r="GZ1044" s="4"/>
      <c r="HA1044" s="4"/>
      <c r="IU1044" s="359">
        <f>158.25*1.04</f>
        <v>164.58</v>
      </c>
      <c r="IV1044" s="123">
        <f>164.58*1.045</f>
        <v>171.99</v>
      </c>
    </row>
    <row r="1045" spans="1:256" ht="21" customHeight="1" x14ac:dyDescent="0.2">
      <c r="A1045" s="121" t="s">
        <v>1900</v>
      </c>
      <c r="B1045" s="397" t="s">
        <v>1167</v>
      </c>
      <c r="C1045" s="122" t="s">
        <v>1053</v>
      </c>
      <c r="D1045" s="389">
        <f>194.91*1.05</f>
        <v>204.66</v>
      </c>
      <c r="E1045" s="14">
        <f t="shared" si="93"/>
        <v>40.93</v>
      </c>
      <c r="F1045" s="97">
        <f t="shared" si="94"/>
        <v>245.59</v>
      </c>
      <c r="EH1045" s="3"/>
      <c r="GS1045" s="3"/>
      <c r="GT1045" s="4"/>
      <c r="GU1045" s="4"/>
      <c r="GV1045" s="4"/>
      <c r="GW1045" s="4"/>
      <c r="GX1045" s="4"/>
      <c r="GY1045" s="4"/>
      <c r="GZ1045" s="4"/>
      <c r="HA1045" s="4"/>
      <c r="IU1045" s="359">
        <f>179.35*1.04</f>
        <v>186.52</v>
      </c>
      <c r="IV1045" s="123">
        <f>186.52*1.045</f>
        <v>194.91</v>
      </c>
    </row>
    <row r="1046" spans="1:256" ht="31.5" customHeight="1" x14ac:dyDescent="0.2">
      <c r="A1046" s="121" t="s">
        <v>1901</v>
      </c>
      <c r="B1046" s="406" t="s">
        <v>1168</v>
      </c>
      <c r="C1046" s="122" t="s">
        <v>1053</v>
      </c>
      <c r="D1046" s="389">
        <f>447.43*1.05</f>
        <v>469.8</v>
      </c>
      <c r="E1046" s="14">
        <f t="shared" si="93"/>
        <v>93.96</v>
      </c>
      <c r="F1046" s="97">
        <f t="shared" si="94"/>
        <v>563.76</v>
      </c>
      <c r="EH1046" s="3" t="s">
        <v>1054</v>
      </c>
      <c r="GS1046" s="3"/>
      <c r="GT1046" s="4"/>
      <c r="GU1046" s="4"/>
      <c r="GV1046" s="4"/>
      <c r="GW1046" s="4"/>
      <c r="GX1046" s="4"/>
      <c r="GY1046" s="4"/>
      <c r="GZ1046" s="4"/>
      <c r="HA1046" s="4"/>
    </row>
    <row r="1047" spans="1:256" ht="34.5" customHeight="1" x14ac:dyDescent="0.2">
      <c r="A1047" s="121" t="s">
        <v>1902</v>
      </c>
      <c r="B1047" s="406" t="s">
        <v>2051</v>
      </c>
      <c r="C1047" s="122" t="s">
        <v>1053</v>
      </c>
      <c r="D1047" s="389">
        <v>202.6</v>
      </c>
      <c r="E1047" s="14">
        <f t="shared" si="93"/>
        <v>40.520000000000003</v>
      </c>
      <c r="F1047" s="97">
        <f t="shared" si="94"/>
        <v>243.12</v>
      </c>
      <c r="EH1047" s="3"/>
      <c r="GS1047" s="3"/>
      <c r="GT1047" s="4"/>
      <c r="GU1047" s="4"/>
      <c r="GV1047" s="4"/>
      <c r="GW1047" s="4"/>
      <c r="GX1047" s="4"/>
      <c r="GY1047" s="4"/>
      <c r="GZ1047" s="4"/>
      <c r="HA1047" s="4"/>
    </row>
    <row r="1048" spans="1:256" ht="31.5" customHeight="1" x14ac:dyDescent="0.2">
      <c r="A1048" s="121" t="s">
        <v>1903</v>
      </c>
      <c r="B1048" s="106" t="s">
        <v>1742</v>
      </c>
      <c r="C1048" s="384" t="s">
        <v>228</v>
      </c>
      <c r="D1048" s="389">
        <f>2907.5*1.05</f>
        <v>3052.88</v>
      </c>
      <c r="E1048" s="14">
        <f t="shared" si="93"/>
        <v>610.58000000000004</v>
      </c>
      <c r="F1048" s="97">
        <f t="shared" si="94"/>
        <v>3663.46</v>
      </c>
      <c r="EH1048" s="3"/>
      <c r="GS1048" s="3"/>
      <c r="GT1048" s="4"/>
      <c r="GU1048" s="4"/>
      <c r="GV1048" s="4"/>
      <c r="GW1048" s="4"/>
      <c r="GX1048" s="4"/>
      <c r="GY1048" s="4"/>
      <c r="GZ1048" s="4"/>
      <c r="HA1048" s="4"/>
    </row>
    <row r="1049" spans="1:256" ht="69" customHeight="1" x14ac:dyDescent="0.2">
      <c r="A1049" s="121" t="s">
        <v>2052</v>
      </c>
      <c r="B1049" s="397" t="s">
        <v>1169</v>
      </c>
      <c r="C1049" s="122" t="s">
        <v>1170</v>
      </c>
      <c r="D1049" s="389">
        <f>1730.73*1.05</f>
        <v>1817.27</v>
      </c>
      <c r="E1049" s="14">
        <f t="shared" si="93"/>
        <v>363.45</v>
      </c>
      <c r="F1049" s="97">
        <f t="shared" si="94"/>
        <v>2180.7199999999998</v>
      </c>
      <c r="EH1049" s="3"/>
      <c r="GS1049" s="3"/>
      <c r="GT1049" s="4"/>
      <c r="GU1049" s="4"/>
      <c r="GV1049" s="4"/>
      <c r="GW1049" s="4"/>
      <c r="GX1049" s="4"/>
      <c r="GY1049" s="4"/>
      <c r="GZ1049" s="4"/>
      <c r="HA1049" s="4"/>
      <c r="IU1049" s="359">
        <v>1656.2</v>
      </c>
      <c r="IV1049" s="123">
        <f>1656.2*1.045</f>
        <v>1730.73</v>
      </c>
    </row>
    <row r="1050" spans="1:256" ht="25.5" customHeight="1" x14ac:dyDescent="0.2">
      <c r="A1050" s="121" t="s">
        <v>2053</v>
      </c>
      <c r="B1050" s="397" t="s">
        <v>1171</v>
      </c>
      <c r="C1050" s="138" t="s">
        <v>1172</v>
      </c>
      <c r="D1050" s="389">
        <f>127.7*1.05</f>
        <v>134.09</v>
      </c>
      <c r="E1050" s="14">
        <f t="shared" si="93"/>
        <v>26.82</v>
      </c>
      <c r="F1050" s="97">
        <f t="shared" si="94"/>
        <v>160.91</v>
      </c>
      <c r="EH1050" s="3"/>
      <c r="GS1050" s="3"/>
      <c r="GT1050" s="4"/>
      <c r="GU1050" s="4"/>
      <c r="GV1050" s="4"/>
      <c r="GW1050" s="4"/>
      <c r="GX1050" s="4"/>
      <c r="GY1050" s="4"/>
      <c r="GZ1050" s="4"/>
      <c r="HA1050" s="4"/>
      <c r="HM1050">
        <v>150.68</v>
      </c>
      <c r="IT1050">
        <f>HM1050/1.18</f>
        <v>127.694915254237</v>
      </c>
      <c r="IU1050" s="359">
        <v>111.59</v>
      </c>
      <c r="IV1050" s="123">
        <f>111.59*1.045</f>
        <v>116.61</v>
      </c>
    </row>
    <row r="1051" spans="1:256" ht="31.5" customHeight="1" x14ac:dyDescent="0.2">
      <c r="A1051" s="121" t="s">
        <v>2054</v>
      </c>
      <c r="B1051" s="397" t="s">
        <v>1173</v>
      </c>
      <c r="C1051" s="379" t="s">
        <v>1172</v>
      </c>
      <c r="D1051" s="389">
        <f>57.96*1.05</f>
        <v>60.86</v>
      </c>
      <c r="E1051" s="14">
        <f t="shared" si="93"/>
        <v>12.17</v>
      </c>
      <c r="F1051" s="97">
        <f t="shared" si="94"/>
        <v>73.03</v>
      </c>
      <c r="EH1051" s="3"/>
      <c r="GS1051" s="3"/>
      <c r="GT1051" s="4"/>
      <c r="GU1051" s="4"/>
      <c r="GV1051" s="4"/>
      <c r="GW1051" s="4"/>
      <c r="GX1051" s="4"/>
      <c r="GY1051" s="4"/>
      <c r="GZ1051" s="4"/>
      <c r="HA1051" s="4"/>
      <c r="IU1051" s="69">
        <v>55.46</v>
      </c>
      <c r="IV1051" s="123">
        <f>55.46*1.045</f>
        <v>57.96</v>
      </c>
    </row>
    <row r="1052" spans="1:256" ht="41.25" hidden="1" customHeight="1" x14ac:dyDescent="0.25">
      <c r="A1052" s="139" t="s">
        <v>1174</v>
      </c>
      <c r="B1052" s="140" t="s">
        <v>1175</v>
      </c>
      <c r="C1052" s="141" t="s">
        <v>236</v>
      </c>
      <c r="D1052" s="72">
        <v>2144.94</v>
      </c>
      <c r="E1052" s="142">
        <f t="shared" ref="E1052:E1059" si="95">D1052*0.18</f>
        <v>386.09</v>
      </c>
      <c r="F1052" s="143">
        <f t="shared" si="94"/>
        <v>2531.0300000000002</v>
      </c>
      <c r="EH1052" s="3"/>
      <c r="GS1052" s="3"/>
      <c r="GT1052" s="4"/>
      <c r="GU1052" s="4"/>
      <c r="GV1052" s="4"/>
      <c r="GW1052" s="4"/>
      <c r="GX1052" s="4"/>
      <c r="GY1052" s="4"/>
      <c r="GZ1052" s="4"/>
      <c r="HA1052" s="4"/>
      <c r="IU1052" s="359">
        <v>2052.5700000000002</v>
      </c>
      <c r="IV1052" s="123">
        <f>2052.57*1.045</f>
        <v>2144.94</v>
      </c>
    </row>
    <row r="1053" spans="1:256" ht="42.75" hidden="1" customHeight="1" x14ac:dyDescent="0.25">
      <c r="A1053" s="144" t="s">
        <v>1176</v>
      </c>
      <c r="B1053" s="401" t="s">
        <v>1177</v>
      </c>
      <c r="C1053" s="379" t="s">
        <v>236</v>
      </c>
      <c r="D1053" s="389">
        <v>1485.39</v>
      </c>
      <c r="E1053" s="97">
        <f t="shared" si="95"/>
        <v>267.37</v>
      </c>
      <c r="F1053" s="145">
        <f t="shared" si="94"/>
        <v>1752.76</v>
      </c>
      <c r="EH1053" s="3"/>
      <c r="GS1053" s="3"/>
      <c r="GT1053" s="4"/>
      <c r="GU1053" s="4"/>
      <c r="GV1053" s="4"/>
      <c r="GW1053" s="4"/>
      <c r="GX1053" s="4"/>
      <c r="GY1053" s="4"/>
      <c r="GZ1053" s="4"/>
      <c r="HA1053" s="4"/>
      <c r="IU1053" s="359">
        <v>1421.43</v>
      </c>
      <c r="IV1053" s="123">
        <f>1421.43*1.045</f>
        <v>1485.39</v>
      </c>
    </row>
    <row r="1054" spans="1:256" ht="44.25" hidden="1" customHeight="1" x14ac:dyDescent="0.25">
      <c r="A1054" s="144" t="s">
        <v>1178</v>
      </c>
      <c r="B1054" s="401" t="s">
        <v>1179</v>
      </c>
      <c r="C1054" s="379" t="s">
        <v>236</v>
      </c>
      <c r="D1054" s="389">
        <v>1181.54</v>
      </c>
      <c r="E1054" s="97">
        <f t="shared" si="95"/>
        <v>212.68</v>
      </c>
      <c r="F1054" s="145">
        <f t="shared" si="94"/>
        <v>1394.22</v>
      </c>
      <c r="EH1054" s="3"/>
      <c r="GS1054" s="3"/>
      <c r="GT1054" s="4"/>
      <c r="GU1054" s="4"/>
      <c r="GV1054" s="4"/>
      <c r="GW1054" s="4"/>
      <c r="GX1054" s="4"/>
      <c r="GY1054" s="4"/>
      <c r="GZ1054" s="4"/>
      <c r="HA1054" s="4"/>
      <c r="IU1054" s="359">
        <v>1130.6600000000001</v>
      </c>
      <c r="IV1054" s="123">
        <f>1130.66*1.045</f>
        <v>1181.54</v>
      </c>
    </row>
    <row r="1055" spans="1:256" ht="46.5" hidden="1" customHeight="1" x14ac:dyDescent="0.25">
      <c r="A1055" s="144" t="s">
        <v>1180</v>
      </c>
      <c r="B1055" s="401" t="s">
        <v>1181</v>
      </c>
      <c r="C1055" s="379" t="s">
        <v>236</v>
      </c>
      <c r="D1055" s="389">
        <v>1414.78</v>
      </c>
      <c r="E1055" s="97">
        <f t="shared" si="95"/>
        <v>254.66</v>
      </c>
      <c r="F1055" s="145">
        <f t="shared" si="94"/>
        <v>1669.44</v>
      </c>
      <c r="EH1055" s="3"/>
      <c r="GS1055" s="3"/>
      <c r="GT1055" s="4"/>
      <c r="GU1055" s="4"/>
      <c r="GV1055" s="4"/>
      <c r="GW1055" s="4"/>
      <c r="GX1055" s="4"/>
      <c r="GY1055" s="4"/>
      <c r="GZ1055" s="4"/>
      <c r="HA1055" s="4"/>
      <c r="IU1055" s="359">
        <v>1353.86</v>
      </c>
      <c r="IV1055" s="123">
        <f>1353.86*1.045</f>
        <v>1414.78</v>
      </c>
    </row>
    <row r="1056" spans="1:256" ht="33.75" hidden="1" customHeight="1" x14ac:dyDescent="0.25">
      <c r="A1056" s="144" t="s">
        <v>1182</v>
      </c>
      <c r="B1056" s="401" t="s">
        <v>1183</v>
      </c>
      <c r="C1056" s="379" t="s">
        <v>236</v>
      </c>
      <c r="D1056" s="389">
        <v>1206.5999999999999</v>
      </c>
      <c r="E1056" s="97">
        <f t="shared" si="95"/>
        <v>217.19</v>
      </c>
      <c r="F1056" s="145">
        <f t="shared" si="94"/>
        <v>1423.79</v>
      </c>
      <c r="EH1056" s="3"/>
      <c r="GS1056" s="3"/>
      <c r="GT1056" s="4"/>
      <c r="GU1056" s="4"/>
      <c r="GV1056" s="4"/>
      <c r="GW1056" s="4"/>
      <c r="GX1056" s="4"/>
      <c r="GY1056" s="4"/>
      <c r="GZ1056" s="4"/>
      <c r="HA1056" s="4"/>
      <c r="IU1056" s="359">
        <v>1154.6400000000001</v>
      </c>
      <c r="IV1056" s="123">
        <f>1154.64*1.045</f>
        <v>1206.5999999999999</v>
      </c>
    </row>
    <row r="1057" spans="1:256" ht="46.5" hidden="1" customHeight="1" x14ac:dyDescent="0.25">
      <c r="A1057" s="144" t="s">
        <v>1184</v>
      </c>
      <c r="B1057" s="401" t="s">
        <v>1185</v>
      </c>
      <c r="C1057" s="379" t="s">
        <v>236</v>
      </c>
      <c r="D1057" s="389">
        <v>1373.99</v>
      </c>
      <c r="E1057" s="97">
        <f t="shared" si="95"/>
        <v>247.32</v>
      </c>
      <c r="F1057" s="145">
        <f t="shared" si="94"/>
        <v>1621.31</v>
      </c>
      <c r="EH1057" s="3"/>
      <c r="GS1057" s="3"/>
      <c r="GT1057" s="4"/>
      <c r="GU1057" s="4"/>
      <c r="GV1057" s="4"/>
      <c r="GW1057" s="4"/>
      <c r="GX1057" s="4"/>
      <c r="GY1057" s="4"/>
      <c r="GZ1057" s="4"/>
      <c r="HA1057" s="4"/>
      <c r="IU1057" s="359">
        <v>1314.82</v>
      </c>
      <c r="IV1057" s="123">
        <f>1314.82*1.045</f>
        <v>1373.99</v>
      </c>
    </row>
    <row r="1058" spans="1:256" ht="43.5" hidden="1" customHeight="1" x14ac:dyDescent="0.25">
      <c r="A1058" s="144" t="s">
        <v>1186</v>
      </c>
      <c r="B1058" s="401" t="s">
        <v>1187</v>
      </c>
      <c r="C1058" s="379" t="s">
        <v>236</v>
      </c>
      <c r="D1058" s="389">
        <v>1164.6300000000001</v>
      </c>
      <c r="E1058" s="97">
        <f t="shared" si="95"/>
        <v>209.63</v>
      </c>
      <c r="F1058" s="145">
        <f t="shared" si="94"/>
        <v>1374.26</v>
      </c>
      <c r="EH1058" s="3"/>
      <c r="GS1058" s="3"/>
      <c r="GT1058" s="4"/>
      <c r="GU1058" s="4"/>
      <c r="GV1058" s="4"/>
      <c r="GW1058" s="4"/>
      <c r="GX1058" s="4"/>
      <c r="GY1058" s="4"/>
      <c r="GZ1058" s="4"/>
      <c r="HA1058" s="4"/>
      <c r="IU1058" s="359">
        <v>1114.48</v>
      </c>
      <c r="IV1058" s="123">
        <f>1114.48*1.045</f>
        <v>1164.6300000000001</v>
      </c>
    </row>
    <row r="1059" spans="1:256" ht="54.75" hidden="1" customHeight="1" thickBot="1" x14ac:dyDescent="0.3">
      <c r="A1059" s="146" t="s">
        <v>1188</v>
      </c>
      <c r="B1059" s="147" t="s">
        <v>1189</v>
      </c>
      <c r="C1059" s="148" t="s">
        <v>236</v>
      </c>
      <c r="D1059" s="68">
        <v>992.66</v>
      </c>
      <c r="E1059" s="149">
        <f t="shared" si="95"/>
        <v>178.68</v>
      </c>
      <c r="F1059" s="150">
        <f t="shared" si="94"/>
        <v>1171.3399999999999</v>
      </c>
      <c r="EH1059" s="3"/>
      <c r="GS1059" s="3"/>
      <c r="GT1059" s="4"/>
      <c r="GU1059" s="4"/>
      <c r="GV1059" s="4"/>
      <c r="GW1059" s="4"/>
      <c r="GX1059" s="4"/>
      <c r="GY1059" s="4"/>
      <c r="GZ1059" s="4"/>
      <c r="HA1059" s="4"/>
      <c r="IU1059" s="68">
        <v>949.91</v>
      </c>
      <c r="IV1059" s="123">
        <f>949.91*1.045</f>
        <v>992.66</v>
      </c>
    </row>
    <row r="1060" spans="1:256" ht="54.75" customHeight="1" x14ac:dyDescent="0.25">
      <c r="A1060" s="151"/>
      <c r="B1060" s="258"/>
      <c r="C1060" s="119"/>
      <c r="D1060" s="412"/>
      <c r="E1060" s="154"/>
      <c r="F1060" s="154"/>
      <c r="EH1060" s="3"/>
      <c r="GS1060" s="3"/>
      <c r="GT1060" s="4"/>
      <c r="GU1060" s="4"/>
      <c r="GV1060" s="4"/>
      <c r="GW1060" s="4"/>
      <c r="GX1060" s="4"/>
      <c r="GY1060" s="4"/>
      <c r="GZ1060" s="4"/>
      <c r="HA1060" s="4"/>
      <c r="IU1060" s="360"/>
      <c r="IV1060" s="123"/>
    </row>
    <row r="1061" spans="1:256" ht="30" customHeight="1" x14ac:dyDescent="0.25">
      <c r="A1061" s="151"/>
      <c r="B1061" s="152"/>
      <c r="C1061" s="153"/>
      <c r="D1061" s="412"/>
      <c r="E1061" s="154"/>
      <c r="F1061" s="154"/>
      <c r="EH1061" s="3"/>
      <c r="GS1061" s="3"/>
      <c r="GT1061" s="4"/>
      <c r="GU1061" s="4"/>
      <c r="GV1061" s="4"/>
      <c r="GW1061" s="4"/>
      <c r="GX1061" s="4"/>
      <c r="GY1061" s="4"/>
      <c r="GZ1061" s="4"/>
      <c r="HA1061" s="4"/>
    </row>
    <row r="1062" spans="1:256" ht="40.5" customHeight="1" x14ac:dyDescent="0.2">
      <c r="A1062" s="420" t="s">
        <v>2035</v>
      </c>
      <c r="B1062" s="420"/>
      <c r="C1062" s="420"/>
      <c r="D1062" s="420"/>
      <c r="E1062" s="420"/>
      <c r="F1062" s="420"/>
      <c r="EH1062" s="3"/>
      <c r="GS1062" s="3"/>
      <c r="GT1062" s="4"/>
      <c r="GU1062" s="4"/>
      <c r="GV1062" s="4"/>
      <c r="GW1062" s="4"/>
      <c r="GX1062" s="4"/>
      <c r="GY1062" s="4"/>
      <c r="GZ1062" s="4"/>
      <c r="HA1062" s="4"/>
    </row>
    <row r="1063" spans="1:256" ht="10.5" customHeight="1" x14ac:dyDescent="0.2">
      <c r="A1063" s="254"/>
      <c r="B1063" s="254"/>
      <c r="C1063" s="254"/>
      <c r="D1063" s="254"/>
      <c r="E1063" s="254"/>
      <c r="F1063" s="254"/>
      <c r="EH1063" s="3"/>
      <c r="GS1063" s="3"/>
      <c r="GT1063" s="4"/>
      <c r="GU1063" s="4"/>
      <c r="GV1063" s="4"/>
      <c r="GW1063" s="4"/>
      <c r="GX1063" s="4"/>
      <c r="GY1063" s="4"/>
      <c r="GZ1063" s="4"/>
      <c r="HA1063" s="4"/>
    </row>
    <row r="1064" spans="1:256" ht="63" x14ac:dyDescent="0.2">
      <c r="A1064" s="396" t="s">
        <v>1020</v>
      </c>
      <c r="B1064" s="386" t="s">
        <v>1021</v>
      </c>
      <c r="C1064" s="386" t="s">
        <v>9</v>
      </c>
      <c r="D1064" s="386" t="s">
        <v>10</v>
      </c>
      <c r="E1064" s="386" t="s">
        <v>1022</v>
      </c>
      <c r="F1064" s="386" t="s">
        <v>1023</v>
      </c>
      <c r="EH1064" s="3"/>
      <c r="GS1064" s="3"/>
      <c r="GT1064" s="4"/>
      <c r="GU1064" s="4"/>
      <c r="GV1064" s="4"/>
      <c r="GW1064" s="4"/>
      <c r="GX1064" s="4"/>
      <c r="GY1064" s="4"/>
      <c r="GZ1064" s="4"/>
      <c r="HA1064" s="4"/>
    </row>
    <row r="1065" spans="1:256" ht="15.75" x14ac:dyDescent="0.2">
      <c r="A1065" s="396">
        <v>1</v>
      </c>
      <c r="B1065" s="386">
        <v>2</v>
      </c>
      <c r="C1065" s="386">
        <v>3</v>
      </c>
      <c r="D1065" s="386">
        <v>4</v>
      </c>
      <c r="E1065" s="386">
        <v>5</v>
      </c>
      <c r="F1065" s="386">
        <v>6</v>
      </c>
      <c r="EH1065" s="3"/>
      <c r="GS1065" s="3"/>
      <c r="GT1065" s="4"/>
      <c r="GU1065" s="4"/>
      <c r="GV1065" s="4"/>
      <c r="GW1065" s="4"/>
      <c r="GX1065" s="4"/>
      <c r="GY1065" s="4"/>
      <c r="GZ1065" s="4"/>
      <c r="HA1065" s="4"/>
    </row>
    <row r="1066" spans="1:256" ht="15.75" customHeight="1" x14ac:dyDescent="0.2">
      <c r="A1066" s="447" t="s">
        <v>1190</v>
      </c>
      <c r="B1066" s="447"/>
      <c r="C1066" s="447"/>
      <c r="D1066" s="447"/>
      <c r="E1066" s="447"/>
      <c r="F1066" s="447"/>
      <c r="EH1066" s="3"/>
      <c r="GS1066" s="3"/>
      <c r="GT1066" s="4"/>
      <c r="GU1066" s="4"/>
      <c r="GV1066" s="4"/>
      <c r="GW1066" s="4"/>
      <c r="GX1066" s="4"/>
      <c r="GY1066" s="4"/>
      <c r="GZ1066" s="4"/>
      <c r="HA1066" s="4"/>
    </row>
    <row r="1067" spans="1:256" ht="15.75" x14ac:dyDescent="0.2">
      <c r="A1067" s="155" t="s">
        <v>14</v>
      </c>
      <c r="B1067" s="381" t="s">
        <v>1192</v>
      </c>
      <c r="C1067" s="384" t="s">
        <v>228</v>
      </c>
      <c r="D1067" s="389">
        <v>301.67</v>
      </c>
      <c r="E1067" s="14">
        <f t="shared" ref="E1067:E1098" si="96">D1067*20%</f>
        <v>60.33</v>
      </c>
      <c r="F1067" s="97">
        <f t="shared" ref="F1067:F1098" si="97">D1067+E1067</f>
        <v>362</v>
      </c>
      <c r="EH1067" s="3"/>
      <c r="GS1067" s="3"/>
      <c r="GT1067" s="4"/>
      <c r="GU1067" s="4"/>
      <c r="GV1067" s="4"/>
      <c r="GW1067" s="4"/>
      <c r="GX1067" s="4"/>
      <c r="GY1067" s="4"/>
      <c r="GZ1067" s="4"/>
      <c r="HA1067" s="4"/>
    </row>
    <row r="1068" spans="1:256" ht="39.75" customHeight="1" x14ac:dyDescent="0.2">
      <c r="A1068" s="155" t="s">
        <v>26</v>
      </c>
      <c r="B1068" s="381" t="s">
        <v>1193</v>
      </c>
      <c r="C1068" s="384" t="s">
        <v>228</v>
      </c>
      <c r="D1068" s="389">
        <v>764.71</v>
      </c>
      <c r="E1068" s="14">
        <f t="shared" si="96"/>
        <v>152.94</v>
      </c>
      <c r="F1068" s="97">
        <f t="shared" si="97"/>
        <v>917.65</v>
      </c>
      <c r="EH1068" s="3"/>
      <c r="GS1068" s="3"/>
      <c r="GT1068" s="4"/>
      <c r="GU1068" s="4"/>
      <c r="GV1068" s="4"/>
      <c r="GW1068" s="4"/>
      <c r="GX1068" s="4"/>
      <c r="GY1068" s="4"/>
      <c r="GZ1068" s="4"/>
      <c r="HA1068" s="4"/>
    </row>
    <row r="1069" spans="1:256" ht="30" customHeight="1" x14ac:dyDescent="0.2">
      <c r="A1069" s="158" t="s">
        <v>563</v>
      </c>
      <c r="B1069" s="381" t="s">
        <v>1194</v>
      </c>
      <c r="C1069" s="384" t="s">
        <v>228</v>
      </c>
      <c r="D1069" s="389">
        <v>373.02</v>
      </c>
      <c r="E1069" s="14">
        <f t="shared" si="96"/>
        <v>74.599999999999994</v>
      </c>
      <c r="F1069" s="97">
        <f t="shared" si="97"/>
        <v>447.62</v>
      </c>
      <c r="EH1069" s="3"/>
      <c r="GS1069" s="3"/>
      <c r="GT1069" s="4"/>
      <c r="GU1069" s="4"/>
      <c r="GV1069" s="4"/>
      <c r="GW1069" s="4"/>
      <c r="GX1069" s="4"/>
      <c r="GY1069" s="4"/>
      <c r="GZ1069" s="4"/>
      <c r="HA1069" s="4"/>
    </row>
    <row r="1070" spans="1:256" ht="32.25" customHeight="1" x14ac:dyDescent="0.2">
      <c r="A1070" s="248" t="s">
        <v>565</v>
      </c>
      <c r="B1070" s="381" t="s">
        <v>1195</v>
      </c>
      <c r="C1070" s="384" t="s">
        <v>228</v>
      </c>
      <c r="D1070" s="389">
        <v>359.49</v>
      </c>
      <c r="E1070" s="14">
        <f t="shared" si="96"/>
        <v>71.900000000000006</v>
      </c>
      <c r="F1070" s="97">
        <f t="shared" si="97"/>
        <v>431.39</v>
      </c>
      <c r="EH1070" s="3"/>
      <c r="GS1070" s="3"/>
      <c r="GT1070" s="4"/>
      <c r="GU1070" s="4"/>
      <c r="GV1070" s="4"/>
      <c r="GW1070" s="4"/>
      <c r="GX1070" s="4"/>
      <c r="GY1070" s="4"/>
      <c r="GZ1070" s="4"/>
      <c r="HA1070" s="4"/>
    </row>
    <row r="1071" spans="1:256" ht="21" customHeight="1" x14ac:dyDescent="0.2">
      <c r="A1071" s="155" t="s">
        <v>29</v>
      </c>
      <c r="B1071" s="381" t="s">
        <v>1196</v>
      </c>
      <c r="C1071" s="384" t="s">
        <v>228</v>
      </c>
      <c r="D1071" s="389">
        <v>489.61</v>
      </c>
      <c r="E1071" s="14">
        <f t="shared" si="96"/>
        <v>97.92</v>
      </c>
      <c r="F1071" s="97">
        <f t="shared" si="97"/>
        <v>587.53</v>
      </c>
      <c r="EH1071" s="3"/>
      <c r="GS1071" s="3"/>
      <c r="GT1071" s="4"/>
      <c r="GU1071" s="4"/>
      <c r="GV1071" s="4"/>
      <c r="GW1071" s="4"/>
      <c r="GX1071" s="4"/>
      <c r="GY1071" s="4"/>
      <c r="GZ1071" s="4"/>
      <c r="HA1071" s="4"/>
    </row>
    <row r="1072" spans="1:256" ht="51" customHeight="1" x14ac:dyDescent="0.2">
      <c r="A1072" s="155" t="s">
        <v>31</v>
      </c>
      <c r="B1072" s="381" t="s">
        <v>1197</v>
      </c>
      <c r="C1072" s="384" t="s">
        <v>228</v>
      </c>
      <c r="D1072" s="389">
        <v>869.62</v>
      </c>
      <c r="E1072" s="14">
        <f t="shared" si="96"/>
        <v>173.92</v>
      </c>
      <c r="F1072" s="97">
        <f t="shared" si="97"/>
        <v>1043.54</v>
      </c>
      <c r="EH1072" s="3" t="s">
        <v>1198</v>
      </c>
      <c r="GS1072" s="3"/>
      <c r="GT1072" s="4"/>
      <c r="GU1072" s="4"/>
      <c r="GV1072" s="4"/>
      <c r="GW1072" s="4"/>
      <c r="GX1072" s="4"/>
      <c r="GY1072" s="4"/>
      <c r="GZ1072" s="4"/>
      <c r="HA1072" s="4"/>
    </row>
    <row r="1073" spans="1:209" ht="39.75" customHeight="1" x14ac:dyDescent="0.2">
      <c r="A1073" s="155" t="s">
        <v>627</v>
      </c>
      <c r="B1073" s="381" t="s">
        <v>1199</v>
      </c>
      <c r="C1073" s="384" t="s">
        <v>228</v>
      </c>
      <c r="D1073" s="389">
        <v>404.87</v>
      </c>
      <c r="E1073" s="14">
        <f t="shared" si="96"/>
        <v>80.97</v>
      </c>
      <c r="F1073" s="97">
        <f t="shared" si="97"/>
        <v>485.84</v>
      </c>
      <c r="EH1073" s="3"/>
      <c r="GS1073" s="3"/>
      <c r="GT1073" s="4"/>
      <c r="GU1073" s="4"/>
      <c r="GV1073" s="4"/>
      <c r="GW1073" s="4"/>
      <c r="GX1073" s="4"/>
      <c r="GY1073" s="4"/>
      <c r="GZ1073" s="4"/>
      <c r="HA1073" s="4"/>
    </row>
    <row r="1074" spans="1:209" ht="51.75" customHeight="1" x14ac:dyDescent="0.2">
      <c r="A1074" s="155" t="s">
        <v>33</v>
      </c>
      <c r="B1074" s="381" t="s">
        <v>1200</v>
      </c>
      <c r="C1074" s="384" t="s">
        <v>228</v>
      </c>
      <c r="D1074" s="389">
        <v>1071.7</v>
      </c>
      <c r="E1074" s="14">
        <f t="shared" si="96"/>
        <v>214.34</v>
      </c>
      <c r="F1074" s="97">
        <f t="shared" si="97"/>
        <v>1286.04</v>
      </c>
      <c r="EH1074" s="3"/>
      <c r="GS1074" s="3"/>
      <c r="GT1074" s="4"/>
      <c r="GU1074" s="4"/>
      <c r="GV1074" s="4"/>
      <c r="GW1074" s="4"/>
      <c r="GX1074" s="4"/>
      <c r="GY1074" s="4"/>
      <c r="GZ1074" s="4"/>
      <c r="HA1074" s="4"/>
    </row>
    <row r="1075" spans="1:209" ht="43.5" customHeight="1" x14ac:dyDescent="0.2">
      <c r="A1075" s="158" t="s">
        <v>639</v>
      </c>
      <c r="B1075" s="381" t="s">
        <v>1201</v>
      </c>
      <c r="C1075" s="384" t="s">
        <v>228</v>
      </c>
      <c r="D1075" s="389">
        <v>322.02999999999997</v>
      </c>
      <c r="E1075" s="14">
        <f t="shared" si="96"/>
        <v>64.41</v>
      </c>
      <c r="F1075" s="97">
        <f t="shared" si="97"/>
        <v>386.44</v>
      </c>
      <c r="EH1075" s="3"/>
      <c r="GS1075" s="3"/>
      <c r="GT1075" s="4"/>
      <c r="GU1075" s="4"/>
      <c r="GV1075" s="4"/>
      <c r="GW1075" s="4"/>
      <c r="GX1075" s="4"/>
      <c r="GY1075" s="4"/>
      <c r="GZ1075" s="4"/>
      <c r="HA1075" s="4"/>
    </row>
    <row r="1076" spans="1:209" ht="51.75" customHeight="1" x14ac:dyDescent="0.2">
      <c r="A1076" s="155" t="s">
        <v>35</v>
      </c>
      <c r="B1076" s="381" t="s">
        <v>1202</v>
      </c>
      <c r="C1076" s="384" t="s">
        <v>228</v>
      </c>
      <c r="D1076" s="389">
        <v>981.45</v>
      </c>
      <c r="E1076" s="14">
        <f t="shared" si="96"/>
        <v>196.29</v>
      </c>
      <c r="F1076" s="97">
        <f t="shared" si="97"/>
        <v>1177.74</v>
      </c>
      <c r="EH1076" s="3"/>
      <c r="GS1076" s="3"/>
      <c r="GT1076" s="4"/>
      <c r="GU1076" s="4"/>
      <c r="GV1076" s="4"/>
      <c r="GW1076" s="4"/>
      <c r="GX1076" s="4"/>
      <c r="GY1076" s="4"/>
      <c r="GZ1076" s="4"/>
      <c r="HA1076" s="4"/>
    </row>
    <row r="1077" spans="1:209" ht="36.75" customHeight="1" x14ac:dyDescent="0.2">
      <c r="A1077" s="158" t="s">
        <v>259</v>
      </c>
      <c r="B1077" s="381" t="s">
        <v>1203</v>
      </c>
      <c r="C1077" s="384" t="s">
        <v>228</v>
      </c>
      <c r="D1077" s="389">
        <v>296.61</v>
      </c>
      <c r="E1077" s="14">
        <f t="shared" si="96"/>
        <v>59.32</v>
      </c>
      <c r="F1077" s="97">
        <f t="shared" si="97"/>
        <v>355.93</v>
      </c>
      <c r="EH1077" s="3"/>
      <c r="GS1077" s="3"/>
      <c r="GT1077" s="4"/>
      <c r="GU1077" s="4"/>
      <c r="GV1077" s="4"/>
      <c r="GW1077" s="4"/>
      <c r="GX1077" s="4"/>
      <c r="GY1077" s="4"/>
      <c r="GZ1077" s="4"/>
      <c r="HA1077" s="4"/>
    </row>
    <row r="1078" spans="1:209" ht="31.5" x14ac:dyDescent="0.2">
      <c r="A1078" s="155" t="s">
        <v>37</v>
      </c>
      <c r="B1078" s="381" t="s">
        <v>1204</v>
      </c>
      <c r="C1078" s="384" t="s">
        <v>228</v>
      </c>
      <c r="D1078" s="389">
        <v>756.82</v>
      </c>
      <c r="E1078" s="14">
        <f t="shared" si="96"/>
        <v>151.36000000000001</v>
      </c>
      <c r="F1078" s="97">
        <f t="shared" si="97"/>
        <v>908.18</v>
      </c>
      <c r="EH1078" s="3"/>
      <c r="GS1078" s="3"/>
      <c r="GT1078" s="4"/>
      <c r="GU1078" s="4"/>
      <c r="GV1078" s="4"/>
      <c r="GW1078" s="4"/>
      <c r="GX1078" s="4"/>
      <c r="GY1078" s="4"/>
      <c r="GZ1078" s="4"/>
      <c r="HA1078" s="4"/>
    </row>
    <row r="1079" spans="1:209" ht="27.75" x14ac:dyDescent="0.2">
      <c r="A1079" s="155" t="s">
        <v>39</v>
      </c>
      <c r="B1079" s="381" t="s">
        <v>1205</v>
      </c>
      <c r="C1079" s="384" t="s">
        <v>228</v>
      </c>
      <c r="D1079" s="389">
        <v>565.45000000000005</v>
      </c>
      <c r="E1079" s="14">
        <f t="shared" si="96"/>
        <v>113.09</v>
      </c>
      <c r="F1079" s="97">
        <f t="shared" si="97"/>
        <v>678.54</v>
      </c>
      <c r="EH1079" s="3"/>
      <c r="GS1079" s="3"/>
      <c r="GT1079" s="4"/>
      <c r="GU1079" s="4"/>
      <c r="GV1079" s="4"/>
      <c r="GW1079" s="4"/>
      <c r="GX1079" s="4"/>
      <c r="GY1079" s="4"/>
      <c r="GZ1079" s="4"/>
      <c r="HA1079" s="4"/>
    </row>
    <row r="1080" spans="1:209" ht="37.5" customHeight="1" x14ac:dyDescent="0.2">
      <c r="A1080" s="158" t="s">
        <v>705</v>
      </c>
      <c r="B1080" s="381" t="s">
        <v>1206</v>
      </c>
      <c r="C1080" s="384" t="s">
        <v>228</v>
      </c>
      <c r="D1080" s="389">
        <v>290.68</v>
      </c>
      <c r="E1080" s="14">
        <f t="shared" si="96"/>
        <v>58.14</v>
      </c>
      <c r="F1080" s="97">
        <f t="shared" si="97"/>
        <v>348.82</v>
      </c>
      <c r="G1080" s="156"/>
      <c r="EH1080" s="3"/>
      <c r="GS1080" s="3"/>
      <c r="GT1080" s="4"/>
      <c r="GU1080" s="4"/>
      <c r="GV1080" s="4"/>
      <c r="GW1080" s="4"/>
      <c r="GX1080" s="4"/>
      <c r="GY1080" s="4"/>
      <c r="GZ1080" s="4"/>
      <c r="HA1080" s="4"/>
    </row>
    <row r="1081" spans="1:209" ht="36" customHeight="1" x14ac:dyDescent="0.2">
      <c r="A1081" s="155" t="s">
        <v>41</v>
      </c>
      <c r="B1081" s="381" t="s">
        <v>1207</v>
      </c>
      <c r="C1081" s="384" t="s">
        <v>228</v>
      </c>
      <c r="D1081" s="389">
        <v>505.82</v>
      </c>
      <c r="E1081" s="14">
        <f t="shared" si="96"/>
        <v>101.16</v>
      </c>
      <c r="F1081" s="97">
        <f t="shared" si="97"/>
        <v>606.98</v>
      </c>
      <c r="EH1081" s="3"/>
      <c r="GS1081" s="3"/>
      <c r="GT1081" s="4"/>
      <c r="GU1081" s="4"/>
      <c r="GV1081" s="4"/>
      <c r="GW1081" s="4"/>
      <c r="GX1081" s="4"/>
      <c r="GY1081" s="4"/>
      <c r="GZ1081" s="4"/>
      <c r="HA1081" s="4"/>
    </row>
    <row r="1082" spans="1:209" ht="27.75" customHeight="1" x14ac:dyDescent="0.2">
      <c r="A1082" s="155" t="s">
        <v>44</v>
      </c>
      <c r="B1082" s="381" t="s">
        <v>1208</v>
      </c>
      <c r="C1082" s="384" t="s">
        <v>228</v>
      </c>
      <c r="D1082" s="389">
        <v>776.29</v>
      </c>
      <c r="E1082" s="14">
        <f t="shared" si="96"/>
        <v>155.26</v>
      </c>
      <c r="F1082" s="97">
        <f t="shared" si="97"/>
        <v>931.55</v>
      </c>
      <c r="EH1082" s="3"/>
      <c r="GS1082" s="3"/>
      <c r="GT1082" s="4"/>
      <c r="GU1082" s="4"/>
      <c r="GV1082" s="4"/>
      <c r="GW1082" s="4"/>
      <c r="GX1082" s="4"/>
      <c r="GY1082" s="4"/>
      <c r="GZ1082" s="4"/>
      <c r="HA1082" s="4"/>
    </row>
    <row r="1083" spans="1:209" ht="37.5" customHeight="1" x14ac:dyDescent="0.2">
      <c r="A1083" s="158" t="s">
        <v>728</v>
      </c>
      <c r="B1083" s="381" t="s">
        <v>1209</v>
      </c>
      <c r="C1083" s="384" t="s">
        <v>228</v>
      </c>
      <c r="D1083" s="389">
        <v>351.65</v>
      </c>
      <c r="E1083" s="14">
        <f t="shared" si="96"/>
        <v>70.33</v>
      </c>
      <c r="F1083" s="97">
        <f t="shared" si="97"/>
        <v>421.98</v>
      </c>
      <c r="EH1083" s="3"/>
      <c r="GS1083" s="3"/>
      <c r="GT1083" s="4"/>
      <c r="GU1083" s="4"/>
      <c r="GV1083" s="4"/>
      <c r="GW1083" s="4"/>
      <c r="GX1083" s="4"/>
      <c r="GY1083" s="4"/>
      <c r="GZ1083" s="4"/>
      <c r="HA1083" s="4"/>
    </row>
    <row r="1084" spans="1:209" ht="33.75" customHeight="1" x14ac:dyDescent="0.2">
      <c r="A1084" s="155" t="s">
        <v>46</v>
      </c>
      <c r="B1084" s="381" t="s">
        <v>1210</v>
      </c>
      <c r="C1084" s="384" t="s">
        <v>228</v>
      </c>
      <c r="D1084" s="389">
        <v>945.9</v>
      </c>
      <c r="E1084" s="14">
        <f t="shared" si="96"/>
        <v>189.18</v>
      </c>
      <c r="F1084" s="97">
        <f t="shared" si="97"/>
        <v>1135.08</v>
      </c>
      <c r="EH1084" s="3"/>
      <c r="GS1084" s="3"/>
      <c r="GT1084" s="4"/>
      <c r="GU1084" s="4"/>
      <c r="GV1084" s="4"/>
      <c r="GW1084" s="4"/>
      <c r="GX1084" s="4"/>
      <c r="GY1084" s="4"/>
      <c r="GZ1084" s="4"/>
      <c r="HA1084" s="4"/>
    </row>
    <row r="1085" spans="1:209" ht="39" customHeight="1" x14ac:dyDescent="0.2">
      <c r="A1085" s="158" t="s">
        <v>755</v>
      </c>
      <c r="B1085" s="392" t="s">
        <v>1211</v>
      </c>
      <c r="C1085" s="384" t="s">
        <v>228</v>
      </c>
      <c r="D1085" s="389">
        <v>336.44</v>
      </c>
      <c r="E1085" s="14">
        <f t="shared" si="96"/>
        <v>67.290000000000006</v>
      </c>
      <c r="F1085" s="97">
        <f t="shared" si="97"/>
        <v>403.73</v>
      </c>
      <c r="EH1085" s="3"/>
      <c r="GS1085" s="3"/>
      <c r="GT1085" s="4"/>
      <c r="GU1085" s="4"/>
      <c r="GV1085" s="4"/>
      <c r="GW1085" s="4"/>
      <c r="GX1085" s="4"/>
      <c r="GY1085" s="4"/>
      <c r="GZ1085" s="4"/>
      <c r="HA1085" s="4"/>
    </row>
    <row r="1086" spans="1:209" s="39" customFormat="1" ht="30.75" customHeight="1" x14ac:dyDescent="0.2">
      <c r="A1086" s="155" t="s">
        <v>48</v>
      </c>
      <c r="B1086" s="381" t="s">
        <v>1212</v>
      </c>
      <c r="C1086" s="384" t="s">
        <v>228</v>
      </c>
      <c r="D1086" s="389">
        <v>525.15</v>
      </c>
      <c r="E1086" s="14">
        <f t="shared" si="96"/>
        <v>105.03</v>
      </c>
      <c r="F1086" s="97">
        <f t="shared" si="97"/>
        <v>630.17999999999995</v>
      </c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EH1086" s="3"/>
      <c r="GS1086" s="157"/>
      <c r="GT1086" s="4"/>
      <c r="GU1086" s="4"/>
      <c r="GV1086" s="4"/>
      <c r="GW1086" s="4"/>
      <c r="GX1086" s="4"/>
      <c r="GY1086" s="4"/>
      <c r="GZ1086" s="4"/>
      <c r="HA1086" s="4"/>
    </row>
    <row r="1087" spans="1:209" ht="37.5" customHeight="1" x14ac:dyDescent="0.2">
      <c r="A1087" s="158" t="s">
        <v>780</v>
      </c>
      <c r="B1087" s="392" t="s">
        <v>1213</v>
      </c>
      <c r="C1087" s="384" t="s">
        <v>228</v>
      </c>
      <c r="D1087" s="389">
        <v>236.44</v>
      </c>
      <c r="E1087" s="14">
        <f t="shared" si="96"/>
        <v>47.29</v>
      </c>
      <c r="F1087" s="97">
        <f t="shared" si="97"/>
        <v>283.73</v>
      </c>
      <c r="EH1087" s="3"/>
      <c r="GS1087" s="3"/>
      <c r="GT1087" s="4"/>
      <c r="GU1087" s="4"/>
      <c r="GV1087" s="4"/>
      <c r="GW1087" s="4"/>
      <c r="GX1087" s="4"/>
      <c r="GY1087" s="4"/>
      <c r="GZ1087" s="4"/>
      <c r="HA1087" s="4"/>
    </row>
    <row r="1088" spans="1:209" ht="29.25" customHeight="1" x14ac:dyDescent="0.2">
      <c r="A1088" s="155" t="s">
        <v>50</v>
      </c>
      <c r="B1088" s="381" t="s">
        <v>1214</v>
      </c>
      <c r="C1088" s="384" t="s">
        <v>228</v>
      </c>
      <c r="D1088" s="389">
        <v>502.5</v>
      </c>
      <c r="E1088" s="14">
        <f t="shared" si="96"/>
        <v>100.5</v>
      </c>
      <c r="F1088" s="97">
        <f t="shared" si="97"/>
        <v>603</v>
      </c>
      <c r="EH1088" s="3"/>
      <c r="GS1088" s="3"/>
      <c r="GT1088" s="4"/>
      <c r="GU1088" s="4"/>
      <c r="GV1088" s="4"/>
      <c r="GW1088" s="4"/>
      <c r="GX1088" s="4"/>
      <c r="GY1088" s="4"/>
      <c r="GZ1088" s="4"/>
      <c r="HA1088" s="4"/>
    </row>
    <row r="1089" spans="1:209" ht="32.25" customHeight="1" x14ac:dyDescent="0.2">
      <c r="A1089" s="155" t="s">
        <v>52</v>
      </c>
      <c r="B1089" s="381" t="s">
        <v>1215</v>
      </c>
      <c r="C1089" s="384" t="s">
        <v>228</v>
      </c>
      <c r="D1089" s="389">
        <v>1310.22</v>
      </c>
      <c r="E1089" s="14">
        <f t="shared" si="96"/>
        <v>262.04000000000002</v>
      </c>
      <c r="F1089" s="97">
        <f t="shared" si="97"/>
        <v>1572.26</v>
      </c>
      <c r="EH1089" s="3"/>
      <c r="GS1089" s="3"/>
      <c r="GT1089" s="4"/>
      <c r="GU1089" s="4"/>
      <c r="GV1089" s="4"/>
      <c r="GW1089" s="4"/>
      <c r="GX1089" s="4"/>
      <c r="GY1089" s="4"/>
      <c r="GZ1089" s="4"/>
      <c r="HA1089" s="4"/>
    </row>
    <row r="1090" spans="1:209" ht="33.75" customHeight="1" x14ac:dyDescent="0.2">
      <c r="A1090" s="155" t="s">
        <v>54</v>
      </c>
      <c r="B1090" s="381" t="s">
        <v>1216</v>
      </c>
      <c r="C1090" s="384" t="s">
        <v>228</v>
      </c>
      <c r="D1090" s="389">
        <v>602.63</v>
      </c>
      <c r="E1090" s="14">
        <f t="shared" si="96"/>
        <v>120.53</v>
      </c>
      <c r="F1090" s="97">
        <f t="shared" si="97"/>
        <v>723.16</v>
      </c>
      <c r="EH1090" s="3"/>
      <c r="GS1090" s="3"/>
      <c r="GT1090" s="4"/>
      <c r="GU1090" s="4"/>
      <c r="GV1090" s="4"/>
      <c r="GW1090" s="4"/>
      <c r="GX1090" s="4"/>
      <c r="GY1090" s="4"/>
      <c r="GZ1090" s="4"/>
      <c r="HA1090" s="4"/>
    </row>
    <row r="1091" spans="1:209" ht="51" customHeight="1" x14ac:dyDescent="0.2">
      <c r="A1091" s="158" t="s">
        <v>854</v>
      </c>
      <c r="B1091" s="392" t="s">
        <v>1217</v>
      </c>
      <c r="C1091" s="384" t="s">
        <v>228</v>
      </c>
      <c r="D1091" s="389">
        <v>297.45999999999998</v>
      </c>
      <c r="E1091" s="14">
        <f t="shared" si="96"/>
        <v>59.49</v>
      </c>
      <c r="F1091" s="97">
        <f t="shared" si="97"/>
        <v>356.95</v>
      </c>
      <c r="EH1091" s="3"/>
      <c r="GS1091" s="3"/>
      <c r="GT1091" s="4"/>
      <c r="GU1091" s="4"/>
      <c r="GV1091" s="4"/>
      <c r="GW1091" s="4"/>
      <c r="GX1091" s="4"/>
      <c r="GY1091" s="4"/>
      <c r="GZ1091" s="4"/>
      <c r="HA1091" s="4"/>
    </row>
    <row r="1092" spans="1:209" ht="31.5" customHeight="1" x14ac:dyDescent="0.2">
      <c r="A1092" s="155" t="s">
        <v>56</v>
      </c>
      <c r="B1092" s="381" t="s">
        <v>1218</v>
      </c>
      <c r="C1092" s="384" t="s">
        <v>228</v>
      </c>
      <c r="D1092" s="389">
        <v>602.63</v>
      </c>
      <c r="E1092" s="14">
        <f t="shared" si="96"/>
        <v>120.53</v>
      </c>
      <c r="F1092" s="97">
        <f t="shared" si="97"/>
        <v>723.16</v>
      </c>
      <c r="EH1092" s="3"/>
      <c r="GS1092" s="3"/>
      <c r="GT1092" s="4"/>
      <c r="GU1092" s="4"/>
      <c r="GV1092" s="4"/>
      <c r="GW1092" s="4"/>
      <c r="GX1092" s="4"/>
      <c r="GY1092" s="4"/>
      <c r="GZ1092" s="4"/>
      <c r="HA1092" s="4"/>
    </row>
    <row r="1093" spans="1:209" ht="52.5" customHeight="1" x14ac:dyDescent="0.2">
      <c r="A1093" s="158" t="s">
        <v>863</v>
      </c>
      <c r="B1093" s="392" t="s">
        <v>1219</v>
      </c>
      <c r="C1093" s="384" t="s">
        <v>228</v>
      </c>
      <c r="D1093" s="389">
        <v>297.45999999999998</v>
      </c>
      <c r="E1093" s="14">
        <f t="shared" si="96"/>
        <v>59.49</v>
      </c>
      <c r="F1093" s="97">
        <f t="shared" si="97"/>
        <v>356.95</v>
      </c>
      <c r="EH1093" s="3"/>
      <c r="GS1093" s="3"/>
      <c r="GT1093" s="4"/>
      <c r="GU1093" s="4"/>
      <c r="GV1093" s="4"/>
      <c r="GW1093" s="4"/>
      <c r="GX1093" s="4"/>
      <c r="GY1093" s="4"/>
      <c r="GZ1093" s="4"/>
      <c r="HA1093" s="4"/>
    </row>
    <row r="1094" spans="1:209" ht="34.5" customHeight="1" x14ac:dyDescent="0.2">
      <c r="A1094" s="155" t="s">
        <v>58</v>
      </c>
      <c r="B1094" s="381" t="s">
        <v>1220</v>
      </c>
      <c r="C1094" s="384" t="s">
        <v>228</v>
      </c>
      <c r="D1094" s="389">
        <v>309.48</v>
      </c>
      <c r="E1094" s="14">
        <f t="shared" si="96"/>
        <v>61.9</v>
      </c>
      <c r="F1094" s="97">
        <f t="shared" si="97"/>
        <v>371.38</v>
      </c>
      <c r="EH1094" s="3"/>
      <c r="GS1094" s="3"/>
      <c r="GT1094" s="4"/>
      <c r="GU1094" s="4"/>
      <c r="GV1094" s="4"/>
      <c r="GW1094" s="4"/>
      <c r="GX1094" s="4"/>
      <c r="GY1094" s="4"/>
      <c r="GZ1094" s="4"/>
      <c r="HA1094" s="4"/>
    </row>
    <row r="1095" spans="1:209" ht="36.75" customHeight="1" x14ac:dyDescent="0.2">
      <c r="A1095" s="155" t="s">
        <v>60</v>
      </c>
      <c r="B1095" s="381" t="s">
        <v>1221</v>
      </c>
      <c r="C1095" s="384" t="s">
        <v>228</v>
      </c>
      <c r="D1095" s="389">
        <v>729.8</v>
      </c>
      <c r="E1095" s="14">
        <f t="shared" si="96"/>
        <v>145.96</v>
      </c>
      <c r="F1095" s="97">
        <f t="shared" si="97"/>
        <v>875.76</v>
      </c>
      <c r="EH1095" s="3"/>
      <c r="GS1095" s="3"/>
      <c r="GT1095" s="4"/>
      <c r="GU1095" s="4"/>
      <c r="GV1095" s="4"/>
      <c r="GW1095" s="4"/>
      <c r="GX1095" s="4"/>
      <c r="GY1095" s="4"/>
      <c r="GZ1095" s="4"/>
      <c r="HA1095" s="4"/>
    </row>
    <row r="1096" spans="1:209" ht="38.25" customHeight="1" x14ac:dyDescent="0.2">
      <c r="A1096" s="158" t="s">
        <v>951</v>
      </c>
      <c r="B1096" s="392" t="s">
        <v>1222</v>
      </c>
      <c r="C1096" s="384" t="s">
        <v>228</v>
      </c>
      <c r="D1096" s="389">
        <v>320.33999999999997</v>
      </c>
      <c r="E1096" s="14">
        <f t="shared" si="96"/>
        <v>64.069999999999993</v>
      </c>
      <c r="F1096" s="97">
        <f t="shared" si="97"/>
        <v>384.41</v>
      </c>
      <c r="EH1096" s="3"/>
      <c r="GS1096" s="3"/>
      <c r="GT1096" s="4"/>
      <c r="GU1096" s="4"/>
      <c r="GV1096" s="4"/>
      <c r="GW1096" s="4"/>
      <c r="GX1096" s="4"/>
      <c r="GY1096" s="4"/>
      <c r="GZ1096" s="4"/>
      <c r="HA1096" s="4"/>
    </row>
    <row r="1097" spans="1:209" ht="36" customHeight="1" x14ac:dyDescent="0.2">
      <c r="A1097" s="155" t="s">
        <v>62</v>
      </c>
      <c r="B1097" s="381" t="s">
        <v>1223</v>
      </c>
      <c r="C1097" s="384" t="s">
        <v>228</v>
      </c>
      <c r="D1097" s="389">
        <v>686.03</v>
      </c>
      <c r="E1097" s="14">
        <f t="shared" si="96"/>
        <v>137.21</v>
      </c>
      <c r="F1097" s="97">
        <f t="shared" si="97"/>
        <v>823.24</v>
      </c>
      <c r="EH1097" s="3"/>
      <c r="GS1097" s="3"/>
      <c r="GT1097" s="4"/>
      <c r="GU1097" s="4"/>
      <c r="GV1097" s="4"/>
      <c r="GW1097" s="4"/>
      <c r="GX1097" s="4"/>
      <c r="GY1097" s="4"/>
      <c r="GZ1097" s="4"/>
      <c r="HA1097" s="4"/>
    </row>
    <row r="1098" spans="1:209" ht="39.75" customHeight="1" x14ac:dyDescent="0.2">
      <c r="A1098" s="155" t="s">
        <v>64</v>
      </c>
      <c r="B1098" s="381" t="s">
        <v>1224</v>
      </c>
      <c r="C1098" s="384" t="s">
        <v>228</v>
      </c>
      <c r="D1098" s="389">
        <v>759.34</v>
      </c>
      <c r="E1098" s="14">
        <f t="shared" si="96"/>
        <v>151.87</v>
      </c>
      <c r="F1098" s="97">
        <f t="shared" si="97"/>
        <v>911.21</v>
      </c>
      <c r="EH1098" s="3" t="s">
        <v>1225</v>
      </c>
      <c r="GS1098" s="3"/>
      <c r="GT1098" s="4"/>
      <c r="GU1098" s="4"/>
      <c r="GV1098" s="4"/>
      <c r="GW1098" s="4"/>
      <c r="GX1098" s="4"/>
      <c r="GY1098" s="4"/>
      <c r="GZ1098" s="4"/>
      <c r="HA1098" s="4"/>
    </row>
    <row r="1099" spans="1:209" ht="20.25" customHeight="1" x14ac:dyDescent="0.2">
      <c r="A1099" s="155" t="s">
        <v>66</v>
      </c>
      <c r="B1099" s="430" t="s">
        <v>1226</v>
      </c>
      <c r="C1099" s="430"/>
      <c r="D1099" s="430"/>
      <c r="E1099" s="430"/>
      <c r="F1099" s="430"/>
      <c r="EH1099" s="3"/>
      <c r="GS1099" s="3"/>
      <c r="GT1099" s="4"/>
      <c r="GU1099" s="4"/>
      <c r="GV1099" s="4"/>
      <c r="GW1099" s="4"/>
      <c r="GX1099" s="4"/>
      <c r="GY1099" s="4"/>
      <c r="GZ1099" s="4"/>
      <c r="HA1099" s="4"/>
    </row>
    <row r="1100" spans="1:209" ht="15.75" x14ac:dyDescent="0.2">
      <c r="A1100" s="158" t="s">
        <v>969</v>
      </c>
      <c r="B1100" s="381" t="s">
        <v>1227</v>
      </c>
      <c r="C1100" s="384" t="s">
        <v>228</v>
      </c>
      <c r="D1100" s="13">
        <v>846.93</v>
      </c>
      <c r="E1100" s="14">
        <f t="shared" ref="E1100:E1120" si="98">D1100*20%</f>
        <v>169.39</v>
      </c>
      <c r="F1100" s="97">
        <f t="shared" ref="F1100:F1119" si="99">D1100+E1100</f>
        <v>1016.32</v>
      </c>
      <c r="EH1100" s="3"/>
      <c r="GS1100" s="3"/>
      <c r="GT1100" s="4"/>
      <c r="GU1100" s="4"/>
      <c r="GV1100" s="4"/>
      <c r="GW1100" s="4"/>
      <c r="GX1100" s="4"/>
      <c r="GY1100" s="4"/>
      <c r="GZ1100" s="4"/>
      <c r="HA1100" s="4"/>
    </row>
    <row r="1101" spans="1:209" ht="37.5" customHeight="1" x14ac:dyDescent="0.2">
      <c r="A1101" s="158" t="s">
        <v>1904</v>
      </c>
      <c r="B1101" s="392" t="s">
        <v>1228</v>
      </c>
      <c r="C1101" s="384" t="s">
        <v>228</v>
      </c>
      <c r="D1101" s="13">
        <v>434.79</v>
      </c>
      <c r="E1101" s="14">
        <f t="shared" si="98"/>
        <v>86.96</v>
      </c>
      <c r="F1101" s="97">
        <f t="shared" si="99"/>
        <v>521.75</v>
      </c>
      <c r="EH1101" s="3"/>
      <c r="GS1101" s="3"/>
      <c r="GT1101" s="4"/>
      <c r="GU1101" s="4"/>
      <c r="GV1101" s="4"/>
      <c r="GW1101" s="4"/>
      <c r="GX1101" s="4"/>
      <c r="GY1101" s="4"/>
      <c r="GZ1101" s="4"/>
      <c r="HA1101" s="4"/>
    </row>
    <row r="1102" spans="1:209" ht="15.75" x14ac:dyDescent="0.2">
      <c r="A1102" s="158" t="s">
        <v>972</v>
      </c>
      <c r="B1102" s="381" t="s">
        <v>1229</v>
      </c>
      <c r="C1102" s="384" t="s">
        <v>228</v>
      </c>
      <c r="D1102" s="13">
        <v>875.6</v>
      </c>
      <c r="E1102" s="14">
        <f t="shared" si="98"/>
        <v>175.12</v>
      </c>
      <c r="F1102" s="97">
        <f t="shared" si="99"/>
        <v>1050.72</v>
      </c>
      <c r="EH1102" s="3"/>
      <c r="GS1102" s="3"/>
      <c r="GT1102" s="4"/>
      <c r="GU1102" s="4"/>
      <c r="GV1102" s="4"/>
      <c r="GW1102" s="4"/>
      <c r="GX1102" s="4"/>
      <c r="GY1102" s="4"/>
      <c r="GZ1102" s="4"/>
      <c r="HA1102" s="4"/>
    </row>
    <row r="1103" spans="1:209" ht="35.25" customHeight="1" x14ac:dyDescent="0.2">
      <c r="A1103" s="158" t="s">
        <v>974</v>
      </c>
      <c r="B1103" s="392" t="s">
        <v>1230</v>
      </c>
      <c r="C1103" s="384" t="s">
        <v>228</v>
      </c>
      <c r="D1103" s="13">
        <v>322.02999999999997</v>
      </c>
      <c r="E1103" s="14">
        <f t="shared" si="98"/>
        <v>64.41</v>
      </c>
      <c r="F1103" s="97">
        <f t="shared" si="99"/>
        <v>386.44</v>
      </c>
      <c r="EH1103" s="3"/>
      <c r="GS1103" s="3"/>
      <c r="GT1103" s="4"/>
      <c r="GU1103" s="4"/>
      <c r="GV1103" s="4"/>
      <c r="GW1103" s="4"/>
      <c r="GX1103" s="4"/>
      <c r="GY1103" s="4"/>
      <c r="GZ1103" s="4"/>
      <c r="HA1103" s="4"/>
    </row>
    <row r="1104" spans="1:209" ht="15.75" x14ac:dyDescent="0.2">
      <c r="A1104" s="158" t="s">
        <v>976</v>
      </c>
      <c r="B1104" s="381" t="s">
        <v>1231</v>
      </c>
      <c r="C1104" s="384" t="s">
        <v>228</v>
      </c>
      <c r="D1104" s="13">
        <v>640.45000000000005</v>
      </c>
      <c r="E1104" s="14">
        <f t="shared" si="98"/>
        <v>128.09</v>
      </c>
      <c r="F1104" s="97">
        <f t="shared" si="99"/>
        <v>768.54</v>
      </c>
      <c r="EH1104" s="3"/>
      <c r="GS1104" s="3"/>
      <c r="GT1104" s="4"/>
      <c r="GU1104" s="4"/>
      <c r="GV1104" s="4"/>
      <c r="GW1104" s="4"/>
      <c r="GX1104" s="4"/>
      <c r="GY1104" s="4"/>
      <c r="GZ1104" s="4"/>
      <c r="HA1104" s="4"/>
    </row>
    <row r="1105" spans="1:209" ht="35.25" customHeight="1" x14ac:dyDescent="0.2">
      <c r="A1105" s="158" t="s">
        <v>978</v>
      </c>
      <c r="B1105" s="392" t="s">
        <v>1232</v>
      </c>
      <c r="C1105" s="384" t="s">
        <v>228</v>
      </c>
      <c r="D1105" s="13">
        <v>322.02999999999997</v>
      </c>
      <c r="E1105" s="14">
        <f t="shared" si="98"/>
        <v>64.41</v>
      </c>
      <c r="F1105" s="97">
        <f t="shared" si="99"/>
        <v>386.44</v>
      </c>
      <c r="EH1105" s="3"/>
      <c r="GS1105" s="3"/>
      <c r="GT1105" s="4"/>
      <c r="GU1105" s="4"/>
      <c r="GV1105" s="4"/>
      <c r="GW1105" s="4"/>
      <c r="GX1105" s="4"/>
      <c r="GY1105" s="4"/>
      <c r="GZ1105" s="4"/>
      <c r="HA1105" s="4"/>
    </row>
    <row r="1106" spans="1:209" ht="15.75" x14ac:dyDescent="0.2">
      <c r="A1106" s="158" t="s">
        <v>979</v>
      </c>
      <c r="B1106" s="381" t="s">
        <v>1233</v>
      </c>
      <c r="C1106" s="384" t="s">
        <v>228</v>
      </c>
      <c r="D1106" s="13">
        <v>791.31</v>
      </c>
      <c r="E1106" s="14">
        <f t="shared" si="98"/>
        <v>158.26</v>
      </c>
      <c r="F1106" s="97">
        <f t="shared" si="99"/>
        <v>949.57</v>
      </c>
      <c r="EH1106" s="3"/>
      <c r="GS1106" s="3"/>
      <c r="GT1106" s="4"/>
      <c r="GU1106" s="4"/>
      <c r="GV1106" s="4"/>
      <c r="GW1106" s="4"/>
      <c r="GX1106" s="4"/>
      <c r="GY1106" s="4"/>
      <c r="GZ1106" s="4"/>
      <c r="HA1106" s="4"/>
    </row>
    <row r="1107" spans="1:209" ht="55.5" customHeight="1" x14ac:dyDescent="0.2">
      <c r="A1107" s="158" t="s">
        <v>981</v>
      </c>
      <c r="B1107" s="392" t="s">
        <v>1234</v>
      </c>
      <c r="C1107" s="384" t="s">
        <v>228</v>
      </c>
      <c r="D1107" s="13">
        <v>401.7</v>
      </c>
      <c r="E1107" s="14">
        <f t="shared" si="98"/>
        <v>80.34</v>
      </c>
      <c r="F1107" s="97">
        <f t="shared" si="99"/>
        <v>482.04</v>
      </c>
      <c r="EH1107" s="3"/>
      <c r="GS1107" s="3"/>
      <c r="GT1107" s="4"/>
      <c r="GU1107" s="4"/>
      <c r="GV1107" s="4"/>
      <c r="GW1107" s="4"/>
      <c r="GX1107" s="4"/>
      <c r="GY1107" s="4"/>
      <c r="GZ1107" s="4"/>
      <c r="HA1107" s="4"/>
    </row>
    <row r="1108" spans="1:209" ht="19.5" customHeight="1" x14ac:dyDescent="0.2">
      <c r="A1108" s="158" t="s">
        <v>982</v>
      </c>
      <c r="B1108" s="381" t="s">
        <v>1235</v>
      </c>
      <c r="C1108" s="384" t="s">
        <v>228</v>
      </c>
      <c r="D1108" s="13">
        <v>777.67</v>
      </c>
      <c r="E1108" s="14">
        <f t="shared" si="98"/>
        <v>155.53</v>
      </c>
      <c r="F1108" s="97">
        <f t="shared" si="99"/>
        <v>933.2</v>
      </c>
      <c r="EH1108" s="3"/>
      <c r="GS1108" s="3"/>
      <c r="GT1108" s="4"/>
      <c r="GU1108" s="4"/>
      <c r="GV1108" s="4"/>
      <c r="GW1108" s="4"/>
      <c r="GX1108" s="4"/>
      <c r="GY1108" s="4"/>
      <c r="GZ1108" s="4"/>
      <c r="HA1108" s="4"/>
    </row>
    <row r="1109" spans="1:209" ht="55.5" customHeight="1" x14ac:dyDescent="0.2">
      <c r="A1109" s="158" t="s">
        <v>984</v>
      </c>
      <c r="B1109" s="392" t="s">
        <v>1236</v>
      </c>
      <c r="C1109" s="384" t="s">
        <v>228</v>
      </c>
      <c r="D1109" s="13">
        <v>394.92</v>
      </c>
      <c r="E1109" s="14">
        <f t="shared" si="98"/>
        <v>78.98</v>
      </c>
      <c r="F1109" s="97">
        <f t="shared" si="99"/>
        <v>473.9</v>
      </c>
      <c r="EH1109" s="3"/>
      <c r="GS1109" s="3"/>
      <c r="GT1109" s="4"/>
      <c r="GU1109" s="4"/>
      <c r="GV1109" s="4"/>
      <c r="GW1109" s="4"/>
      <c r="GX1109" s="4"/>
      <c r="GY1109" s="4"/>
      <c r="GZ1109" s="4"/>
      <c r="HA1109" s="4"/>
    </row>
    <row r="1110" spans="1:209" ht="15.75" x14ac:dyDescent="0.2">
      <c r="A1110" s="158" t="s">
        <v>985</v>
      </c>
      <c r="B1110" s="381" t="s">
        <v>1237</v>
      </c>
      <c r="C1110" s="384" t="s">
        <v>228</v>
      </c>
      <c r="D1110" s="13">
        <v>875.6</v>
      </c>
      <c r="E1110" s="14">
        <f t="shared" si="98"/>
        <v>175.12</v>
      </c>
      <c r="F1110" s="97">
        <f t="shared" si="99"/>
        <v>1050.72</v>
      </c>
      <c r="EH1110" s="3"/>
      <c r="GS1110" s="3"/>
      <c r="GT1110" s="4"/>
      <c r="GU1110" s="4"/>
      <c r="GV1110" s="4"/>
      <c r="GW1110" s="4"/>
      <c r="GX1110" s="4"/>
      <c r="GY1110" s="4"/>
      <c r="GZ1110" s="4"/>
      <c r="HA1110" s="4"/>
    </row>
    <row r="1111" spans="1:209" ht="45" customHeight="1" x14ac:dyDescent="0.2">
      <c r="A1111" s="158" t="s">
        <v>987</v>
      </c>
      <c r="B1111" s="392" t="s">
        <v>1238</v>
      </c>
      <c r="C1111" s="384" t="s">
        <v>228</v>
      </c>
      <c r="D1111" s="13">
        <v>322.02999999999997</v>
      </c>
      <c r="E1111" s="14">
        <f t="shared" si="98"/>
        <v>64.41</v>
      </c>
      <c r="F1111" s="97">
        <f t="shared" si="99"/>
        <v>386.44</v>
      </c>
      <c r="EH1111" s="3"/>
      <c r="GS1111" s="3"/>
      <c r="GT1111" s="4"/>
      <c r="GU1111" s="4"/>
      <c r="GV1111" s="4"/>
      <c r="GW1111" s="4"/>
      <c r="GX1111" s="4"/>
      <c r="GY1111" s="4"/>
      <c r="GZ1111" s="4"/>
      <c r="HA1111" s="4"/>
    </row>
    <row r="1112" spans="1:209" ht="31.5" customHeight="1" x14ac:dyDescent="0.2">
      <c r="A1112" s="155" t="s">
        <v>68</v>
      </c>
      <c r="B1112" s="381" t="s">
        <v>1239</v>
      </c>
      <c r="C1112" s="384" t="s">
        <v>228</v>
      </c>
      <c r="D1112" s="389">
        <v>435.43</v>
      </c>
      <c r="E1112" s="14">
        <f t="shared" si="98"/>
        <v>87.09</v>
      </c>
      <c r="F1112" s="97">
        <f t="shared" si="99"/>
        <v>522.52</v>
      </c>
      <c r="EH1112" s="3"/>
      <c r="GS1112" s="3"/>
      <c r="GT1112" s="4"/>
      <c r="GU1112" s="4"/>
      <c r="GV1112" s="4"/>
      <c r="GW1112" s="4"/>
      <c r="GX1112" s="4"/>
      <c r="GY1112" s="4"/>
      <c r="GZ1112" s="4"/>
      <c r="HA1112" s="4"/>
    </row>
    <row r="1113" spans="1:209" ht="33.75" customHeight="1" x14ac:dyDescent="0.2">
      <c r="A1113" s="155" t="s">
        <v>71</v>
      </c>
      <c r="B1113" s="381" t="s">
        <v>1240</v>
      </c>
      <c r="C1113" s="384" t="s">
        <v>228</v>
      </c>
      <c r="D1113" s="389">
        <v>481.42</v>
      </c>
      <c r="E1113" s="14">
        <f t="shared" si="98"/>
        <v>96.28</v>
      </c>
      <c r="F1113" s="97">
        <f t="shared" si="99"/>
        <v>577.70000000000005</v>
      </c>
      <c r="EH1113" s="3"/>
      <c r="GS1113" s="3"/>
      <c r="GT1113" s="4"/>
      <c r="GU1113" s="4"/>
      <c r="GV1113" s="4"/>
      <c r="GW1113" s="4"/>
      <c r="GX1113" s="4"/>
      <c r="GY1113" s="4"/>
      <c r="GZ1113" s="4"/>
      <c r="HA1113" s="4"/>
    </row>
    <row r="1114" spans="1:209" ht="56.25" customHeight="1" x14ac:dyDescent="0.2">
      <c r="A1114" s="158" t="s">
        <v>1191</v>
      </c>
      <c r="B1114" s="392" t="s">
        <v>1241</v>
      </c>
      <c r="C1114" s="384" t="s">
        <v>228</v>
      </c>
      <c r="D1114" s="389">
        <v>228.01</v>
      </c>
      <c r="E1114" s="14">
        <f t="shared" si="98"/>
        <v>45.6</v>
      </c>
      <c r="F1114" s="97">
        <f t="shared" si="99"/>
        <v>273.61</v>
      </c>
      <c r="EH1114" s="3"/>
      <c r="GS1114" s="3"/>
      <c r="GT1114" s="4"/>
      <c r="GU1114" s="4"/>
      <c r="GV1114" s="4"/>
      <c r="GW1114" s="4"/>
      <c r="GX1114" s="4"/>
      <c r="GY1114" s="4"/>
      <c r="GZ1114" s="4"/>
      <c r="HA1114" s="4"/>
    </row>
    <row r="1115" spans="1:209" ht="34.5" customHeight="1" x14ac:dyDescent="0.2">
      <c r="A1115" s="155" t="s">
        <v>73</v>
      </c>
      <c r="B1115" s="381" t="s">
        <v>1242</v>
      </c>
      <c r="C1115" s="384" t="s">
        <v>228</v>
      </c>
      <c r="D1115" s="389">
        <v>421.96</v>
      </c>
      <c r="E1115" s="14">
        <f t="shared" si="98"/>
        <v>84.39</v>
      </c>
      <c r="F1115" s="97">
        <f t="shared" si="99"/>
        <v>506.35</v>
      </c>
      <c r="EH1115" s="3"/>
      <c r="GS1115" s="3"/>
      <c r="GT1115" s="4"/>
      <c r="GU1115" s="4"/>
      <c r="GV1115" s="4"/>
      <c r="GW1115" s="4"/>
      <c r="GX1115" s="4"/>
      <c r="GY1115" s="4"/>
      <c r="GZ1115" s="4"/>
      <c r="HA1115" s="4"/>
    </row>
    <row r="1116" spans="1:209" ht="66.75" customHeight="1" x14ac:dyDescent="0.2">
      <c r="A1116" s="158" t="s">
        <v>1845</v>
      </c>
      <c r="B1116" s="392" t="s">
        <v>1243</v>
      </c>
      <c r="C1116" s="384" t="s">
        <v>228</v>
      </c>
      <c r="D1116" s="389">
        <v>233.8</v>
      </c>
      <c r="E1116" s="14">
        <f t="shared" si="98"/>
        <v>46.76</v>
      </c>
      <c r="F1116" s="97">
        <f t="shared" si="99"/>
        <v>280.56</v>
      </c>
      <c r="EH1116" s="3"/>
      <c r="GS1116" s="3"/>
      <c r="GT1116" s="4"/>
      <c r="GU1116" s="4"/>
      <c r="GV1116" s="4"/>
      <c r="GW1116" s="4"/>
      <c r="GX1116" s="4"/>
      <c r="GY1116" s="4"/>
      <c r="GZ1116" s="4"/>
      <c r="HA1116" s="4"/>
    </row>
    <row r="1117" spans="1:209" s="39" customFormat="1" ht="36" customHeight="1" x14ac:dyDescent="0.2">
      <c r="A1117" s="155" t="s">
        <v>75</v>
      </c>
      <c r="B1117" s="381" t="s">
        <v>1244</v>
      </c>
      <c r="C1117" s="384" t="s">
        <v>228</v>
      </c>
      <c r="D1117" s="389">
        <v>517.66</v>
      </c>
      <c r="E1117" s="14">
        <f t="shared" si="98"/>
        <v>103.53</v>
      </c>
      <c r="F1117" s="97">
        <f t="shared" si="99"/>
        <v>621.19000000000005</v>
      </c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EH1117" s="3"/>
      <c r="GS1117" s="3"/>
      <c r="GT1117" s="4"/>
      <c r="GU1117" s="4"/>
      <c r="GV1117" s="4"/>
      <c r="GW1117" s="4"/>
      <c r="GX1117" s="4"/>
      <c r="GY1117" s="4"/>
      <c r="GZ1117" s="4"/>
      <c r="HA1117" s="4"/>
    </row>
    <row r="1118" spans="1:209" ht="36" customHeight="1" x14ac:dyDescent="0.2">
      <c r="A1118" s="158" t="s">
        <v>1905</v>
      </c>
      <c r="B1118" s="392" t="s">
        <v>1245</v>
      </c>
      <c r="C1118" s="384" t="s">
        <v>228</v>
      </c>
      <c r="D1118" s="389">
        <f>473.25</f>
        <v>473.25</v>
      </c>
      <c r="E1118" s="14">
        <f t="shared" si="98"/>
        <v>94.65</v>
      </c>
      <c r="F1118" s="97">
        <f t="shared" si="99"/>
        <v>567.9</v>
      </c>
      <c r="EH1118" s="3"/>
      <c r="GS1118" s="3"/>
      <c r="GT1118" s="4"/>
      <c r="GU1118" s="4"/>
      <c r="GV1118" s="4"/>
      <c r="GW1118" s="4"/>
      <c r="GX1118" s="4"/>
      <c r="GY1118" s="4"/>
      <c r="GZ1118" s="4"/>
      <c r="HA1118" s="4"/>
    </row>
    <row r="1119" spans="1:209" ht="37.5" customHeight="1" x14ac:dyDescent="0.2">
      <c r="A1119" s="155" t="s">
        <v>77</v>
      </c>
      <c r="B1119" s="381" t="s">
        <v>1246</v>
      </c>
      <c r="C1119" s="384" t="s">
        <v>228</v>
      </c>
      <c r="D1119" s="389">
        <v>413.93</v>
      </c>
      <c r="E1119" s="14">
        <f t="shared" si="98"/>
        <v>82.79</v>
      </c>
      <c r="F1119" s="97">
        <f t="shared" si="99"/>
        <v>496.72</v>
      </c>
      <c r="EH1119" s="3"/>
      <c r="GS1119" s="3"/>
      <c r="GT1119" s="4"/>
      <c r="GU1119" s="4"/>
      <c r="GV1119" s="4"/>
      <c r="GW1119" s="4"/>
      <c r="GX1119" s="4"/>
      <c r="GY1119" s="4"/>
      <c r="GZ1119" s="4"/>
      <c r="HA1119" s="4"/>
    </row>
    <row r="1120" spans="1:209" ht="33" customHeight="1" x14ac:dyDescent="0.2">
      <c r="A1120" s="155" t="s">
        <v>1996</v>
      </c>
      <c r="B1120" s="212" t="s">
        <v>1997</v>
      </c>
      <c r="C1120" s="122" t="s">
        <v>1666</v>
      </c>
      <c r="D1120" s="389">
        <v>678.85</v>
      </c>
      <c r="E1120" s="14">
        <f t="shared" si="98"/>
        <v>135.77000000000001</v>
      </c>
      <c r="F1120" s="97">
        <f>D1120+E1120</f>
        <v>814.62</v>
      </c>
      <c r="EH1120" s="3"/>
      <c r="GS1120" s="3"/>
      <c r="GT1120" s="4"/>
      <c r="GU1120" s="4"/>
      <c r="GV1120" s="4"/>
      <c r="GW1120" s="4"/>
      <c r="GX1120" s="4"/>
      <c r="GY1120" s="4"/>
      <c r="GZ1120" s="4"/>
      <c r="HA1120" s="4"/>
    </row>
    <row r="1121" spans="1:256" ht="30.75" customHeight="1" x14ac:dyDescent="0.2">
      <c r="A1121" s="429" t="s">
        <v>1247</v>
      </c>
      <c r="B1121" s="429"/>
      <c r="C1121" s="429"/>
      <c r="D1121" s="429"/>
      <c r="E1121" s="429"/>
      <c r="F1121" s="429"/>
      <c r="EH1121" s="3"/>
      <c r="GS1121" s="3"/>
      <c r="GT1121" s="4"/>
      <c r="GU1121" s="4"/>
      <c r="GV1121" s="4"/>
      <c r="GW1121" s="4"/>
      <c r="GX1121" s="4"/>
      <c r="GY1121" s="4"/>
      <c r="GZ1121" s="4"/>
      <c r="HA1121" s="4"/>
    </row>
    <row r="1122" spans="1:256" ht="42" customHeight="1" x14ac:dyDescent="0.2">
      <c r="A1122" s="402" t="s">
        <v>79</v>
      </c>
      <c r="B1122" s="381" t="s">
        <v>1248</v>
      </c>
      <c r="C1122" s="384" t="s">
        <v>228</v>
      </c>
      <c r="D1122" s="13">
        <v>821.29</v>
      </c>
      <c r="E1122" s="14">
        <f t="shared" ref="E1122:E1128" si="100">D1122*20%</f>
        <v>164.26</v>
      </c>
      <c r="F1122" s="14">
        <f t="shared" ref="F1122:F1128" si="101">D1122+E1122</f>
        <v>985.55</v>
      </c>
      <c r="EH1122" s="3" t="s">
        <v>1225</v>
      </c>
      <c r="GS1122" s="3"/>
      <c r="GT1122" s="4"/>
      <c r="GU1122" s="4"/>
      <c r="GV1122" s="4"/>
      <c r="GW1122" s="4"/>
      <c r="GX1122" s="4"/>
      <c r="GY1122" s="4"/>
      <c r="GZ1122" s="4"/>
      <c r="HA1122" s="4"/>
      <c r="IT1122" s="446"/>
    </row>
    <row r="1123" spans="1:256" ht="31.5" x14ac:dyDescent="0.2">
      <c r="A1123" s="402" t="s">
        <v>81</v>
      </c>
      <c r="B1123" s="381" t="s">
        <v>1249</v>
      </c>
      <c r="C1123" s="384" t="s">
        <v>228</v>
      </c>
      <c r="D1123" s="13">
        <v>821.29</v>
      </c>
      <c r="E1123" s="14">
        <f t="shared" si="100"/>
        <v>164.26</v>
      </c>
      <c r="F1123" s="14">
        <f t="shared" si="101"/>
        <v>985.55</v>
      </c>
      <c r="EH1123" s="3" t="s">
        <v>1225</v>
      </c>
      <c r="GS1123" s="3"/>
      <c r="GT1123" s="4"/>
      <c r="GU1123" s="4"/>
      <c r="GV1123" s="4"/>
      <c r="GW1123" s="4"/>
      <c r="GX1123" s="4"/>
      <c r="GY1123" s="4"/>
      <c r="GZ1123" s="4"/>
      <c r="HA1123" s="4"/>
      <c r="IT1123" s="446"/>
    </row>
    <row r="1124" spans="1:256" ht="31.5" x14ac:dyDescent="0.2">
      <c r="A1124" s="402" t="s">
        <v>83</v>
      </c>
      <c r="B1124" s="381" t="s">
        <v>1250</v>
      </c>
      <c r="C1124" s="384" t="s">
        <v>228</v>
      </c>
      <c r="D1124" s="13">
        <v>821.29</v>
      </c>
      <c r="E1124" s="14">
        <f t="shared" si="100"/>
        <v>164.26</v>
      </c>
      <c r="F1124" s="14">
        <f t="shared" si="101"/>
        <v>985.55</v>
      </c>
      <c r="EH1124" s="3" t="s">
        <v>1225</v>
      </c>
      <c r="GS1124" s="3"/>
      <c r="GT1124" s="4"/>
      <c r="GU1124" s="4"/>
      <c r="GV1124" s="4"/>
      <c r="GW1124" s="4"/>
      <c r="GX1124" s="4"/>
      <c r="GY1124" s="4"/>
      <c r="GZ1124" s="4"/>
      <c r="HA1124" s="4"/>
      <c r="IT1124" s="446"/>
    </row>
    <row r="1125" spans="1:256" ht="33.75" customHeight="1" x14ac:dyDescent="0.2">
      <c r="A1125" s="402" t="s">
        <v>1906</v>
      </c>
      <c r="B1125" s="392" t="s">
        <v>1251</v>
      </c>
      <c r="C1125" s="384" t="s">
        <v>228</v>
      </c>
      <c r="D1125" s="13">
        <v>387.29</v>
      </c>
      <c r="E1125" s="14">
        <f t="shared" si="100"/>
        <v>77.459999999999994</v>
      </c>
      <c r="F1125" s="14">
        <f t="shared" si="101"/>
        <v>464.75</v>
      </c>
      <c r="EH1125" s="3"/>
      <c r="GS1125" s="3"/>
      <c r="GT1125" s="4"/>
      <c r="GU1125" s="4"/>
      <c r="GV1125" s="4"/>
      <c r="GW1125" s="4"/>
      <c r="GX1125" s="4"/>
      <c r="GY1125" s="4"/>
      <c r="GZ1125" s="4"/>
      <c r="HA1125" s="4"/>
      <c r="IT1125" s="446"/>
    </row>
    <row r="1126" spans="1:256" ht="38.25" customHeight="1" x14ac:dyDescent="0.2">
      <c r="A1126" s="402" t="s">
        <v>85</v>
      </c>
      <c r="B1126" s="381" t="s">
        <v>1252</v>
      </c>
      <c r="C1126" s="384" t="s">
        <v>228</v>
      </c>
      <c r="D1126" s="13">
        <v>821.29</v>
      </c>
      <c r="E1126" s="14">
        <f t="shared" si="100"/>
        <v>164.26</v>
      </c>
      <c r="F1126" s="14">
        <f t="shared" si="101"/>
        <v>985.55</v>
      </c>
      <c r="EH1126" s="3" t="s">
        <v>1225</v>
      </c>
      <c r="GS1126" s="3"/>
      <c r="GT1126" s="4"/>
      <c r="GU1126" s="4"/>
      <c r="GV1126" s="4"/>
      <c r="GW1126" s="4"/>
      <c r="GX1126" s="4"/>
      <c r="GY1126" s="4"/>
      <c r="GZ1126" s="4"/>
      <c r="HA1126" s="4"/>
      <c r="IT1126" s="446"/>
    </row>
    <row r="1127" spans="1:256" ht="27" customHeight="1" x14ac:dyDescent="0.2">
      <c r="A1127" s="402" t="s">
        <v>87</v>
      </c>
      <c r="B1127" s="381" t="s">
        <v>1253</v>
      </c>
      <c r="C1127" s="384" t="s">
        <v>228</v>
      </c>
      <c r="D1127" s="13">
        <v>1645.65</v>
      </c>
      <c r="E1127" s="14">
        <f t="shared" si="100"/>
        <v>329.13</v>
      </c>
      <c r="F1127" s="97">
        <f t="shared" si="101"/>
        <v>1974.78</v>
      </c>
      <c r="EH1127" s="3"/>
      <c r="GS1127" s="3"/>
      <c r="GT1127" s="4"/>
      <c r="GU1127" s="4"/>
      <c r="GV1127" s="4"/>
      <c r="GW1127" s="4"/>
      <c r="GX1127" s="4"/>
      <c r="GY1127" s="4"/>
      <c r="GZ1127" s="4"/>
      <c r="HA1127" s="4"/>
    </row>
    <row r="1128" spans="1:256" ht="36" customHeight="1" x14ac:dyDescent="0.2">
      <c r="A1128" s="402" t="s">
        <v>90</v>
      </c>
      <c r="B1128" s="381" t="s">
        <v>289</v>
      </c>
      <c r="C1128" s="384" t="s">
        <v>228</v>
      </c>
      <c r="D1128" s="13">
        <v>449.49</v>
      </c>
      <c r="E1128" s="14">
        <f t="shared" si="100"/>
        <v>89.9</v>
      </c>
      <c r="F1128" s="97">
        <f t="shared" si="101"/>
        <v>539.39</v>
      </c>
      <c r="EH1128" s="3"/>
      <c r="GS1128" s="3"/>
      <c r="GT1128" s="4"/>
      <c r="GU1128" s="4"/>
      <c r="GV1128" s="4"/>
      <c r="GW1128" s="4"/>
      <c r="GX1128" s="4"/>
      <c r="GY1128" s="4"/>
      <c r="GZ1128" s="4"/>
      <c r="HA1128" s="4"/>
      <c r="IU1128">
        <v>449.49</v>
      </c>
      <c r="IV1128" s="134">
        <f>IU1128-D1128</f>
        <v>0</v>
      </c>
    </row>
    <row r="1129" spans="1:256" ht="15.75" x14ac:dyDescent="0.2">
      <c r="A1129" s="402" t="s">
        <v>91</v>
      </c>
      <c r="B1129" s="430" t="s">
        <v>1254</v>
      </c>
      <c r="C1129" s="430"/>
      <c r="D1129" s="430"/>
      <c r="E1129" s="430"/>
      <c r="F1129" s="430"/>
      <c r="EH1129" s="3"/>
      <c r="GS1129" s="3"/>
      <c r="GT1129" s="4"/>
      <c r="GU1129" s="4"/>
      <c r="GV1129" s="4"/>
      <c r="GW1129" s="4"/>
      <c r="GX1129" s="4"/>
      <c r="GY1129" s="4"/>
      <c r="GZ1129" s="4"/>
      <c r="HA1129" s="4"/>
    </row>
    <row r="1130" spans="1:256" ht="37.5" customHeight="1" x14ac:dyDescent="0.2">
      <c r="A1130" s="26" t="s">
        <v>93</v>
      </c>
      <c r="B1130" s="381" t="s">
        <v>1255</v>
      </c>
      <c r="C1130" s="384" t="s">
        <v>228</v>
      </c>
      <c r="D1130" s="379">
        <v>675.49</v>
      </c>
      <c r="E1130" s="14">
        <f t="shared" ref="E1130:E1136" si="102">D1130*20%</f>
        <v>135.1</v>
      </c>
      <c r="F1130" s="97">
        <f t="shared" ref="F1130:F1135" si="103">D1130+E1130</f>
        <v>810.59</v>
      </c>
      <c r="EH1130" s="3" t="s">
        <v>1225</v>
      </c>
      <c r="GS1130" s="3"/>
      <c r="GT1130" s="4"/>
      <c r="GU1130" s="4"/>
      <c r="GV1130" s="4"/>
      <c r="GW1130" s="4"/>
      <c r="GX1130" s="4"/>
      <c r="GY1130" s="4"/>
      <c r="GZ1130" s="4"/>
      <c r="HA1130" s="4"/>
    </row>
    <row r="1131" spans="1:256" ht="39.75" customHeight="1" x14ac:dyDescent="0.2">
      <c r="A1131" s="26" t="s">
        <v>95</v>
      </c>
      <c r="B1131" s="381" t="s">
        <v>1256</v>
      </c>
      <c r="C1131" s="384" t="s">
        <v>228</v>
      </c>
      <c r="D1131" s="379">
        <v>675.49</v>
      </c>
      <c r="E1131" s="14">
        <f t="shared" si="102"/>
        <v>135.1</v>
      </c>
      <c r="F1131" s="97">
        <f t="shared" si="103"/>
        <v>810.59</v>
      </c>
      <c r="EH1131" s="3" t="s">
        <v>1225</v>
      </c>
      <c r="GS1131" s="3"/>
      <c r="GT1131" s="4"/>
      <c r="GU1131" s="4"/>
      <c r="GV1131" s="4"/>
      <c r="GW1131" s="4"/>
      <c r="GX1131" s="4"/>
      <c r="GY1131" s="4"/>
      <c r="GZ1131" s="4"/>
      <c r="HA1131" s="4"/>
    </row>
    <row r="1132" spans="1:256" ht="36.75" customHeight="1" x14ac:dyDescent="0.2">
      <c r="A1132" s="26" t="s">
        <v>1907</v>
      </c>
      <c r="B1132" s="392" t="s">
        <v>1257</v>
      </c>
      <c r="C1132" s="384" t="s">
        <v>228</v>
      </c>
      <c r="D1132" s="13">
        <v>316.10000000000002</v>
      </c>
      <c r="E1132" s="14">
        <f t="shared" si="102"/>
        <v>63.22</v>
      </c>
      <c r="F1132" s="97">
        <f t="shared" si="103"/>
        <v>379.32</v>
      </c>
      <c r="EH1132" s="3"/>
      <c r="GS1132" s="3"/>
      <c r="GT1132" s="4"/>
      <c r="GU1132" s="4"/>
      <c r="GV1132" s="4"/>
      <c r="GW1132" s="4"/>
      <c r="GX1132" s="4"/>
      <c r="GY1132" s="4"/>
      <c r="GZ1132" s="4"/>
      <c r="HA1132" s="4"/>
    </row>
    <row r="1133" spans="1:256" ht="39" customHeight="1" x14ac:dyDescent="0.2">
      <c r="A1133" s="402" t="s">
        <v>106</v>
      </c>
      <c r="B1133" s="381" t="s">
        <v>1258</v>
      </c>
      <c r="C1133" s="384" t="s">
        <v>228</v>
      </c>
      <c r="D1133" s="13">
        <v>1412.25</v>
      </c>
      <c r="E1133" s="14">
        <f t="shared" si="102"/>
        <v>282.45</v>
      </c>
      <c r="F1133" s="97">
        <f t="shared" si="103"/>
        <v>1694.7</v>
      </c>
      <c r="EH1133" s="3" t="s">
        <v>1225</v>
      </c>
      <c r="GS1133" s="3"/>
      <c r="GT1133" s="4"/>
      <c r="GU1133" s="4"/>
      <c r="GV1133" s="4"/>
      <c r="GW1133" s="4"/>
      <c r="GX1133" s="4"/>
      <c r="GY1133" s="4"/>
      <c r="GZ1133" s="4"/>
      <c r="HA1133" s="4"/>
    </row>
    <row r="1134" spans="1:256" ht="36" customHeight="1" x14ac:dyDescent="0.2">
      <c r="A1134" s="26" t="s">
        <v>1908</v>
      </c>
      <c r="B1134" s="392" t="s">
        <v>1259</v>
      </c>
      <c r="C1134" s="384" t="s">
        <v>228</v>
      </c>
      <c r="D1134" s="379">
        <v>904.28</v>
      </c>
      <c r="E1134" s="14">
        <f t="shared" si="102"/>
        <v>180.86</v>
      </c>
      <c r="F1134" s="97">
        <f t="shared" si="103"/>
        <v>1085.1400000000001</v>
      </c>
      <c r="EH1134" s="3"/>
      <c r="GS1134" s="3"/>
      <c r="GT1134" s="4"/>
      <c r="GU1134" s="4"/>
      <c r="GV1134" s="4"/>
      <c r="GW1134" s="4"/>
      <c r="GX1134" s="4"/>
      <c r="GY1134" s="4"/>
      <c r="GZ1134" s="4"/>
      <c r="HA1134" s="4"/>
    </row>
    <row r="1135" spans="1:256" ht="24.75" customHeight="1" x14ac:dyDescent="0.2">
      <c r="A1135" s="402" t="s">
        <v>108</v>
      </c>
      <c r="B1135" s="381" t="s">
        <v>1260</v>
      </c>
      <c r="C1135" s="384" t="s">
        <v>228</v>
      </c>
      <c r="D1135" s="13">
        <v>770.13</v>
      </c>
      <c r="E1135" s="14">
        <f t="shared" si="102"/>
        <v>154.03</v>
      </c>
      <c r="F1135" s="97">
        <f t="shared" si="103"/>
        <v>924.16</v>
      </c>
      <c r="EH1135" s="3" t="s">
        <v>1261</v>
      </c>
      <c r="GS1135" s="3"/>
      <c r="GT1135" s="4"/>
      <c r="GU1135" s="4"/>
      <c r="GV1135" s="4"/>
      <c r="GW1135" s="4"/>
      <c r="GX1135" s="4"/>
      <c r="GY1135" s="4"/>
      <c r="GZ1135" s="4"/>
      <c r="HA1135" s="4"/>
    </row>
    <row r="1136" spans="1:256" ht="24.75" hidden="1" customHeight="1" x14ac:dyDescent="0.2">
      <c r="A1136" s="26" t="s">
        <v>1262</v>
      </c>
      <c r="B1136" s="381" t="s">
        <v>1263</v>
      </c>
      <c r="C1136" s="379" t="s">
        <v>236</v>
      </c>
      <c r="D1136" s="13"/>
      <c r="E1136" s="14">
        <f t="shared" si="102"/>
        <v>0</v>
      </c>
      <c r="F1136" s="97">
        <f>D1136+E1136</f>
        <v>0</v>
      </c>
      <c r="EH1136" s="3"/>
      <c r="GS1136" s="3"/>
      <c r="GT1136" s="4"/>
      <c r="GU1136" s="4"/>
      <c r="GV1136" s="4"/>
      <c r="GW1136" s="4"/>
      <c r="GX1136" s="4"/>
      <c r="GY1136" s="4"/>
      <c r="GZ1136" s="4"/>
      <c r="HA1136" s="4"/>
    </row>
    <row r="1137" spans="1:209" ht="15.75" x14ac:dyDescent="0.2">
      <c r="A1137" s="402" t="s">
        <v>114</v>
      </c>
      <c r="B1137" s="430" t="s">
        <v>1747</v>
      </c>
      <c r="C1137" s="430"/>
      <c r="D1137" s="430"/>
      <c r="E1137" s="430"/>
      <c r="F1137" s="430"/>
      <c r="EH1137" s="3"/>
      <c r="GS1137" s="3"/>
      <c r="GT1137" s="4"/>
      <c r="GU1137" s="4"/>
      <c r="GV1137" s="4"/>
      <c r="GW1137" s="4"/>
      <c r="GX1137" s="4"/>
      <c r="GY1137" s="4"/>
      <c r="GZ1137" s="4"/>
      <c r="HA1137" s="4"/>
    </row>
    <row r="1138" spans="1:209" ht="15.75" x14ac:dyDescent="0.2">
      <c r="A1138" s="26" t="s">
        <v>1860</v>
      </c>
      <c r="B1138" s="381" t="s">
        <v>1264</v>
      </c>
      <c r="C1138" s="384" t="s">
        <v>228</v>
      </c>
      <c r="D1138" s="13">
        <v>1710.58</v>
      </c>
      <c r="E1138" s="14">
        <f t="shared" ref="E1138:E1159" si="104">D1138*20%</f>
        <v>342.12</v>
      </c>
      <c r="F1138" s="97">
        <f t="shared" ref="F1138:F1159" si="105">D1138+E1138</f>
        <v>2052.6999999999998</v>
      </c>
      <c r="EH1138" s="3" t="s">
        <v>1225</v>
      </c>
      <c r="GS1138" s="3"/>
      <c r="GT1138" s="4"/>
      <c r="GU1138" s="4"/>
      <c r="GV1138" s="4"/>
      <c r="GW1138" s="4"/>
      <c r="GX1138" s="4"/>
      <c r="GY1138" s="4"/>
      <c r="GZ1138" s="4"/>
      <c r="HA1138" s="4"/>
    </row>
    <row r="1139" spans="1:209" ht="15.75" x14ac:dyDescent="0.2">
      <c r="A1139" s="26" t="s">
        <v>1861</v>
      </c>
      <c r="B1139" s="381" t="s">
        <v>1265</v>
      </c>
      <c r="C1139" s="384" t="s">
        <v>228</v>
      </c>
      <c r="D1139" s="13">
        <v>1710.58</v>
      </c>
      <c r="E1139" s="14">
        <f t="shared" si="104"/>
        <v>342.12</v>
      </c>
      <c r="F1139" s="97">
        <f t="shared" si="105"/>
        <v>2052.6999999999998</v>
      </c>
      <c r="EH1139" s="3" t="s">
        <v>1266</v>
      </c>
      <c r="GS1139" s="3"/>
      <c r="GT1139" s="4"/>
      <c r="GU1139" s="4"/>
      <c r="GV1139" s="4"/>
      <c r="GW1139" s="4"/>
      <c r="GX1139" s="4"/>
      <c r="GY1139" s="4"/>
      <c r="GZ1139" s="4"/>
      <c r="HA1139" s="4"/>
    </row>
    <row r="1140" spans="1:209" ht="31.5" x14ac:dyDescent="0.2">
      <c r="A1140" s="26" t="s">
        <v>1909</v>
      </c>
      <c r="B1140" s="381" t="s">
        <v>1267</v>
      </c>
      <c r="C1140" s="384" t="s">
        <v>228</v>
      </c>
      <c r="D1140" s="13">
        <v>884.44</v>
      </c>
      <c r="E1140" s="14">
        <f t="shared" si="104"/>
        <v>176.89</v>
      </c>
      <c r="F1140" s="97">
        <f t="shared" si="105"/>
        <v>1061.33</v>
      </c>
      <c r="EH1140" s="3"/>
      <c r="GS1140" s="3"/>
      <c r="GT1140" s="4"/>
      <c r="GU1140" s="4"/>
      <c r="GV1140" s="4"/>
      <c r="GW1140" s="4"/>
      <c r="GX1140" s="4"/>
      <c r="GY1140" s="4"/>
      <c r="GZ1140" s="4"/>
      <c r="HA1140" s="4"/>
    </row>
    <row r="1141" spans="1:209" ht="15.75" x14ac:dyDescent="0.2">
      <c r="A1141" s="26" t="s">
        <v>1910</v>
      </c>
      <c r="B1141" s="381" t="s">
        <v>1268</v>
      </c>
      <c r="C1141" s="384" t="s">
        <v>228</v>
      </c>
      <c r="D1141" s="13">
        <v>884.44</v>
      </c>
      <c r="E1141" s="14">
        <f t="shared" si="104"/>
        <v>176.89</v>
      </c>
      <c r="F1141" s="97">
        <f t="shared" si="105"/>
        <v>1061.33</v>
      </c>
      <c r="EH1141" s="3" t="s">
        <v>1225</v>
      </c>
      <c r="GS1141" s="3"/>
      <c r="GT1141" s="4"/>
      <c r="GU1141" s="4"/>
      <c r="GV1141" s="4"/>
      <c r="GW1141" s="4"/>
      <c r="GX1141" s="4"/>
      <c r="GY1141" s="4"/>
      <c r="GZ1141" s="4"/>
      <c r="HA1141" s="4"/>
    </row>
    <row r="1142" spans="1:209" ht="20.25" customHeight="1" x14ac:dyDescent="0.2">
      <c r="A1142" s="26" t="s">
        <v>1911</v>
      </c>
      <c r="B1142" s="381" t="s">
        <v>1269</v>
      </c>
      <c r="C1142" s="384" t="s">
        <v>228</v>
      </c>
      <c r="D1142" s="13">
        <v>884.44</v>
      </c>
      <c r="E1142" s="14">
        <f t="shared" si="104"/>
        <v>176.89</v>
      </c>
      <c r="F1142" s="97">
        <f t="shared" si="105"/>
        <v>1061.33</v>
      </c>
      <c r="EH1142" s="3" t="s">
        <v>1225</v>
      </c>
      <c r="GS1142" s="3"/>
      <c r="GT1142" s="4"/>
      <c r="GU1142" s="4"/>
      <c r="GV1142" s="4"/>
      <c r="GW1142" s="4"/>
      <c r="GX1142" s="4"/>
      <c r="GY1142" s="4"/>
      <c r="GZ1142" s="4"/>
      <c r="HA1142" s="4"/>
    </row>
    <row r="1143" spans="1:209" ht="19.5" customHeight="1" x14ac:dyDescent="0.2">
      <c r="A1143" s="26" t="s">
        <v>1912</v>
      </c>
      <c r="B1143" s="381" t="s">
        <v>1270</v>
      </c>
      <c r="C1143" s="384" t="s">
        <v>228</v>
      </c>
      <c r="D1143" s="13">
        <v>1002.28</v>
      </c>
      <c r="E1143" s="14">
        <f t="shared" si="104"/>
        <v>200.46</v>
      </c>
      <c r="F1143" s="97">
        <f t="shared" si="105"/>
        <v>1202.74</v>
      </c>
      <c r="AK1143" s="2" t="s">
        <v>418</v>
      </c>
      <c r="EH1143" s="3"/>
      <c r="GS1143" s="3"/>
      <c r="GT1143" s="4"/>
      <c r="GU1143" s="4"/>
      <c r="GV1143" s="4"/>
      <c r="GW1143" s="4"/>
      <c r="GX1143" s="4"/>
      <c r="GY1143" s="4"/>
      <c r="GZ1143" s="4"/>
      <c r="HA1143" s="4"/>
    </row>
    <row r="1144" spans="1:209" ht="21.75" customHeight="1" x14ac:dyDescent="0.2">
      <c r="A1144" s="26" t="s">
        <v>1913</v>
      </c>
      <c r="B1144" s="381" t="s">
        <v>1271</v>
      </c>
      <c r="C1144" s="384" t="s">
        <v>228</v>
      </c>
      <c r="D1144" s="13">
        <v>1260.8499999999999</v>
      </c>
      <c r="E1144" s="14">
        <f t="shared" si="104"/>
        <v>252.17</v>
      </c>
      <c r="F1144" s="97">
        <f t="shared" si="105"/>
        <v>1513.02</v>
      </c>
      <c r="EH1144" s="3" t="s">
        <v>1272</v>
      </c>
      <c r="GS1144" s="3"/>
      <c r="GT1144" s="4"/>
      <c r="GU1144" s="4"/>
      <c r="GV1144" s="4"/>
      <c r="GW1144" s="4"/>
      <c r="GX1144" s="4"/>
      <c r="GY1144" s="4"/>
      <c r="GZ1144" s="4"/>
      <c r="HA1144" s="4"/>
    </row>
    <row r="1145" spans="1:209" ht="21.75" customHeight="1" x14ac:dyDescent="0.2">
      <c r="A1145" s="26" t="s">
        <v>1914</v>
      </c>
      <c r="B1145" s="106" t="s">
        <v>1741</v>
      </c>
      <c r="C1145" s="384" t="s">
        <v>228</v>
      </c>
      <c r="D1145" s="389">
        <v>2509.85</v>
      </c>
      <c r="E1145" s="14">
        <f t="shared" si="104"/>
        <v>501.97</v>
      </c>
      <c r="F1145" s="14">
        <f t="shared" si="105"/>
        <v>3011.82</v>
      </c>
      <c r="EH1145" s="3"/>
      <c r="GS1145" s="3"/>
      <c r="GT1145" s="4"/>
      <c r="GU1145" s="4"/>
      <c r="GV1145" s="4"/>
      <c r="GW1145" s="4"/>
      <c r="GX1145" s="4"/>
      <c r="GY1145" s="4"/>
      <c r="GZ1145" s="4"/>
      <c r="HA1145" s="4"/>
    </row>
    <row r="1146" spans="1:209" ht="53.25" customHeight="1" x14ac:dyDescent="0.2">
      <c r="A1146" s="402" t="s">
        <v>117</v>
      </c>
      <c r="B1146" s="408" t="s">
        <v>1273</v>
      </c>
      <c r="C1146" s="384" t="s">
        <v>228</v>
      </c>
      <c r="D1146" s="13">
        <v>299.85000000000002</v>
      </c>
      <c r="E1146" s="14">
        <f t="shared" si="104"/>
        <v>59.97</v>
      </c>
      <c r="F1146" s="97">
        <f t="shared" si="105"/>
        <v>359.82</v>
      </c>
      <c r="EH1146" s="3" t="s">
        <v>1272</v>
      </c>
      <c r="GS1146" s="3"/>
      <c r="GT1146" s="4"/>
      <c r="GU1146" s="4"/>
      <c r="GV1146" s="4"/>
      <c r="GW1146" s="4"/>
      <c r="GX1146" s="4"/>
      <c r="GY1146" s="4"/>
      <c r="GZ1146" s="4"/>
      <c r="HA1146" s="4"/>
    </row>
    <row r="1147" spans="1:209" ht="23.25" customHeight="1" x14ac:dyDescent="0.45">
      <c r="A1147" s="402" t="s">
        <v>1732</v>
      </c>
      <c r="B1147" s="98" t="s">
        <v>1274</v>
      </c>
      <c r="C1147" s="384" t="s">
        <v>228</v>
      </c>
      <c r="D1147" s="13">
        <v>448.78</v>
      </c>
      <c r="E1147" s="14">
        <f t="shared" si="104"/>
        <v>89.76</v>
      </c>
      <c r="F1147" s="97">
        <f t="shared" si="105"/>
        <v>538.54</v>
      </c>
      <c r="EH1147" s="3"/>
      <c r="GS1147" s="159"/>
      <c r="GT1147" s="4"/>
      <c r="GU1147" s="4"/>
      <c r="GV1147" s="4"/>
      <c r="GW1147" s="4"/>
      <c r="GX1147" s="4"/>
      <c r="GY1147" s="4"/>
      <c r="GZ1147" s="4"/>
      <c r="HA1147" s="4"/>
    </row>
    <row r="1148" spans="1:209" ht="21.75" customHeight="1" x14ac:dyDescent="0.2">
      <c r="A1148" s="402" t="s">
        <v>1863</v>
      </c>
      <c r="B1148" s="381" t="s">
        <v>1275</v>
      </c>
      <c r="C1148" s="384" t="s">
        <v>228</v>
      </c>
      <c r="D1148" s="13">
        <v>297.2</v>
      </c>
      <c r="E1148" s="14">
        <f t="shared" si="104"/>
        <v>59.44</v>
      </c>
      <c r="F1148" s="97">
        <f t="shared" si="105"/>
        <v>356.64</v>
      </c>
      <c r="EH1148" s="3" t="s">
        <v>1225</v>
      </c>
      <c r="GS1148" s="3"/>
      <c r="GT1148" s="4"/>
      <c r="GU1148" s="4"/>
      <c r="GV1148" s="4"/>
      <c r="GW1148" s="4"/>
      <c r="GX1148" s="4"/>
      <c r="GY1148" s="4"/>
      <c r="GZ1148" s="4"/>
      <c r="HA1148" s="4"/>
    </row>
    <row r="1149" spans="1:209" ht="25.5" customHeight="1" x14ac:dyDescent="0.2">
      <c r="A1149" s="402" t="s">
        <v>1864</v>
      </c>
      <c r="B1149" s="381" t="s">
        <v>1276</v>
      </c>
      <c r="C1149" s="384" t="s">
        <v>228</v>
      </c>
      <c r="D1149" s="13">
        <v>510.38</v>
      </c>
      <c r="E1149" s="14">
        <f t="shared" si="104"/>
        <v>102.08</v>
      </c>
      <c r="F1149" s="97">
        <f t="shared" si="105"/>
        <v>612.46</v>
      </c>
      <c r="EH1149" s="3" t="s">
        <v>1225</v>
      </c>
      <c r="GS1149" s="3"/>
      <c r="GT1149" s="4"/>
      <c r="GU1149" s="4"/>
      <c r="GV1149" s="4"/>
      <c r="GW1149" s="4"/>
      <c r="GX1149" s="4"/>
      <c r="GY1149" s="4"/>
      <c r="GZ1149" s="4"/>
      <c r="HA1149" s="4"/>
    </row>
    <row r="1150" spans="1:209" s="39" customFormat="1" ht="35.25" customHeight="1" x14ac:dyDescent="0.2">
      <c r="A1150" s="402" t="s">
        <v>1865</v>
      </c>
      <c r="B1150" s="381" t="s">
        <v>1277</v>
      </c>
      <c r="C1150" s="384" t="s">
        <v>228</v>
      </c>
      <c r="D1150" s="13">
        <v>144.18</v>
      </c>
      <c r="E1150" s="14">
        <f t="shared" si="104"/>
        <v>28.84</v>
      </c>
      <c r="F1150" s="97">
        <f t="shared" si="105"/>
        <v>173.02</v>
      </c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EH1150" s="3" t="s">
        <v>1225</v>
      </c>
      <c r="GS1150" s="3"/>
      <c r="GT1150" s="4"/>
      <c r="GU1150" s="4"/>
      <c r="GV1150" s="4"/>
      <c r="GW1150" s="4"/>
      <c r="GX1150" s="4"/>
      <c r="GY1150" s="4"/>
      <c r="GZ1150" s="4"/>
      <c r="HA1150" s="4"/>
    </row>
    <row r="1151" spans="1:209" ht="27.75" customHeight="1" x14ac:dyDescent="0.2">
      <c r="A1151" s="402" t="s">
        <v>1866</v>
      </c>
      <c r="B1151" s="381" t="s">
        <v>1278</v>
      </c>
      <c r="C1151" s="384" t="s">
        <v>228</v>
      </c>
      <c r="D1151" s="13">
        <v>465.09</v>
      </c>
      <c r="E1151" s="14">
        <f t="shared" si="104"/>
        <v>93.02</v>
      </c>
      <c r="F1151" s="14">
        <f t="shared" si="105"/>
        <v>558.11</v>
      </c>
      <c r="EH1151" s="3"/>
      <c r="GS1151" s="3"/>
      <c r="GT1151" s="4"/>
      <c r="GU1151" s="4"/>
      <c r="GV1151" s="4"/>
      <c r="GW1151" s="4"/>
      <c r="GX1151" s="4"/>
      <c r="GY1151" s="4"/>
      <c r="GZ1151" s="4"/>
      <c r="HA1151" s="4"/>
    </row>
    <row r="1152" spans="1:209" ht="34.5" customHeight="1" x14ac:dyDescent="0.45">
      <c r="A1152" s="402" t="s">
        <v>1870</v>
      </c>
      <c r="B1152" s="381" t="s">
        <v>1279</v>
      </c>
      <c r="C1152" s="384" t="s">
        <v>228</v>
      </c>
      <c r="D1152" s="13">
        <v>4606</v>
      </c>
      <c r="E1152" s="14">
        <f t="shared" si="104"/>
        <v>921.2</v>
      </c>
      <c r="F1152" s="14">
        <f t="shared" si="105"/>
        <v>5527.2</v>
      </c>
      <c r="EH1152" s="3" t="s">
        <v>1225</v>
      </c>
      <c r="GS1152" s="160"/>
      <c r="GT1152" s="4"/>
      <c r="GU1152" s="4"/>
      <c r="GV1152" s="4"/>
      <c r="GW1152" s="4"/>
      <c r="GX1152" s="4"/>
      <c r="GY1152" s="4"/>
      <c r="GZ1152" s="4"/>
      <c r="HA1152" s="4"/>
    </row>
    <row r="1153" spans="1:209" ht="57" customHeight="1" x14ac:dyDescent="0.2">
      <c r="A1153" s="402" t="s">
        <v>1871</v>
      </c>
      <c r="B1153" s="381" t="s">
        <v>1280</v>
      </c>
      <c r="C1153" s="379" t="s">
        <v>1026</v>
      </c>
      <c r="D1153" s="389">
        <v>1014.38</v>
      </c>
      <c r="E1153" s="14">
        <f t="shared" si="104"/>
        <v>202.88</v>
      </c>
      <c r="F1153" s="14">
        <f t="shared" si="105"/>
        <v>1217.26</v>
      </c>
      <c r="EH1153" s="3"/>
      <c r="GS1153" s="3"/>
      <c r="GT1153" s="4"/>
      <c r="GU1153" s="4"/>
      <c r="GV1153" s="4"/>
      <c r="GW1153" s="4"/>
      <c r="GX1153" s="4"/>
      <c r="GY1153" s="4"/>
      <c r="GZ1153" s="4"/>
      <c r="HA1153" s="4"/>
    </row>
    <row r="1154" spans="1:209" ht="91.5" customHeight="1" x14ac:dyDescent="0.2">
      <c r="A1154" s="402" t="s">
        <v>1872</v>
      </c>
      <c r="B1154" s="381" t="s">
        <v>1281</v>
      </c>
      <c r="C1154" s="379" t="s">
        <v>1282</v>
      </c>
      <c r="D1154" s="389">
        <v>1400</v>
      </c>
      <c r="E1154" s="14">
        <f t="shared" si="104"/>
        <v>280</v>
      </c>
      <c r="F1154" s="14">
        <f t="shared" si="105"/>
        <v>1680</v>
      </c>
      <c r="EH1154" s="3"/>
      <c r="GS1154" s="3"/>
      <c r="GT1154" s="4"/>
      <c r="GU1154" s="4"/>
      <c r="GV1154" s="4"/>
      <c r="GW1154" s="4"/>
      <c r="GX1154" s="4"/>
      <c r="GY1154" s="4"/>
      <c r="GZ1154" s="4"/>
      <c r="HA1154" s="4"/>
    </row>
    <row r="1155" spans="1:209" ht="24.75" customHeight="1" x14ac:dyDescent="0.2">
      <c r="A1155" s="402" t="s">
        <v>1876</v>
      </c>
      <c r="B1155" s="381" t="s">
        <v>1283</v>
      </c>
      <c r="C1155" s="379" t="s">
        <v>1282</v>
      </c>
      <c r="D1155" s="389">
        <v>795</v>
      </c>
      <c r="E1155" s="14">
        <f t="shared" si="104"/>
        <v>159</v>
      </c>
      <c r="F1155" s="14">
        <f t="shared" si="105"/>
        <v>954</v>
      </c>
      <c r="EH1155" s="3"/>
      <c r="GS1155" s="3"/>
      <c r="GT1155" s="4"/>
      <c r="GU1155" s="4"/>
      <c r="GV1155" s="4"/>
      <c r="GW1155" s="4"/>
      <c r="GX1155" s="4"/>
      <c r="GY1155" s="4"/>
      <c r="GZ1155" s="4"/>
      <c r="HA1155" s="4"/>
    </row>
    <row r="1156" spans="1:209" ht="21" customHeight="1" x14ac:dyDescent="0.2">
      <c r="A1156" s="402" t="s">
        <v>1877</v>
      </c>
      <c r="B1156" s="381" t="s">
        <v>1284</v>
      </c>
      <c r="C1156" s="379" t="s">
        <v>1282</v>
      </c>
      <c r="D1156" s="389">
        <f>999.68</f>
        <v>999.68</v>
      </c>
      <c r="E1156" s="14">
        <f t="shared" si="104"/>
        <v>199.94</v>
      </c>
      <c r="F1156" s="14">
        <f t="shared" si="105"/>
        <v>1199.6199999999999</v>
      </c>
      <c r="EH1156" s="3"/>
      <c r="GS1156" s="3"/>
      <c r="GT1156" s="4"/>
      <c r="GU1156" s="4"/>
      <c r="GV1156" s="4"/>
      <c r="GW1156" s="4"/>
      <c r="GX1156" s="4"/>
      <c r="GY1156" s="4"/>
      <c r="GZ1156" s="4"/>
      <c r="HA1156" s="4"/>
    </row>
    <row r="1157" spans="1:209" ht="35.25" customHeight="1" x14ac:dyDescent="0.2">
      <c r="A1157" s="402" t="s">
        <v>1878</v>
      </c>
      <c r="B1157" s="381" t="s">
        <v>1285</v>
      </c>
      <c r="C1157" s="379" t="s">
        <v>1286</v>
      </c>
      <c r="D1157" s="389">
        <v>2420.4</v>
      </c>
      <c r="E1157" s="14">
        <f t="shared" si="104"/>
        <v>484.08</v>
      </c>
      <c r="F1157" s="14">
        <f t="shared" si="105"/>
        <v>2904.48</v>
      </c>
      <c r="EH1157" s="3"/>
      <c r="GS1157" s="3"/>
      <c r="GT1157" s="4"/>
      <c r="GU1157" s="4"/>
      <c r="GV1157" s="4"/>
      <c r="GW1157" s="4"/>
      <c r="GX1157" s="4"/>
      <c r="GY1157" s="4"/>
      <c r="GZ1157" s="4"/>
      <c r="HA1157" s="4"/>
    </row>
    <row r="1158" spans="1:209" ht="28.5" customHeight="1" x14ac:dyDescent="0.2">
      <c r="A1158" s="402" t="s">
        <v>1879</v>
      </c>
      <c r="B1158" s="98" t="s">
        <v>1287</v>
      </c>
      <c r="C1158" s="379" t="s">
        <v>1288</v>
      </c>
      <c r="D1158" s="389">
        <v>2510.9499999999998</v>
      </c>
      <c r="E1158" s="14">
        <f t="shared" si="104"/>
        <v>502.19</v>
      </c>
      <c r="F1158" s="14">
        <f t="shared" si="105"/>
        <v>3013.14</v>
      </c>
      <c r="EH1158" s="3"/>
      <c r="GS1158" s="3"/>
      <c r="GT1158" s="4"/>
      <c r="GU1158" s="4"/>
      <c r="GV1158" s="4"/>
      <c r="GW1158" s="4"/>
      <c r="GX1158" s="4"/>
      <c r="GY1158" s="4"/>
      <c r="GZ1158" s="4"/>
      <c r="HA1158" s="4"/>
    </row>
    <row r="1159" spans="1:209" ht="28.5" customHeight="1" x14ac:dyDescent="0.2">
      <c r="A1159" s="402" t="s">
        <v>1880</v>
      </c>
      <c r="B1159" s="98" t="s">
        <v>1289</v>
      </c>
      <c r="C1159" s="379" t="s">
        <v>1290</v>
      </c>
      <c r="D1159" s="389">
        <f>10212.8</f>
        <v>10212.799999999999</v>
      </c>
      <c r="E1159" s="14">
        <f t="shared" si="104"/>
        <v>2042.56</v>
      </c>
      <c r="F1159" s="14">
        <f t="shared" si="105"/>
        <v>12255.36</v>
      </c>
      <c r="EH1159" s="3"/>
      <c r="GS1159" s="3"/>
      <c r="GT1159" s="4"/>
      <c r="GU1159" s="4"/>
      <c r="GV1159" s="4"/>
      <c r="GW1159" s="4"/>
      <c r="GX1159" s="4"/>
      <c r="GY1159" s="4"/>
      <c r="GZ1159" s="4"/>
      <c r="HA1159" s="4"/>
    </row>
    <row r="1160" spans="1:209" ht="30.75" customHeight="1" x14ac:dyDescent="0.2">
      <c r="A1160" s="429" t="s">
        <v>1291</v>
      </c>
      <c r="B1160" s="429"/>
      <c r="C1160" s="429"/>
      <c r="D1160" s="429"/>
      <c r="E1160" s="429"/>
      <c r="F1160" s="429"/>
      <c r="EH1160" s="3"/>
      <c r="GS1160" s="3"/>
      <c r="GT1160" s="4"/>
      <c r="GU1160" s="4"/>
      <c r="GV1160" s="4"/>
      <c r="GW1160" s="4"/>
      <c r="GX1160" s="4"/>
      <c r="GY1160" s="4"/>
      <c r="GZ1160" s="4"/>
      <c r="HA1160" s="4"/>
    </row>
    <row r="1161" spans="1:209" ht="26.25" customHeight="1" x14ac:dyDescent="0.2">
      <c r="A1161" s="402" t="s">
        <v>1881</v>
      </c>
      <c r="B1161" s="111" t="s">
        <v>1292</v>
      </c>
      <c r="C1161" s="384" t="s">
        <v>228</v>
      </c>
      <c r="D1161" s="389">
        <v>150.41</v>
      </c>
      <c r="E1161" s="14">
        <f t="shared" ref="E1161:E1169" si="106">D1161*20%</f>
        <v>30.08</v>
      </c>
      <c r="F1161" s="97">
        <f t="shared" ref="F1161:F1169" si="107">D1161+E1161</f>
        <v>180.49</v>
      </c>
      <c r="EH1161" s="3"/>
      <c r="GS1161" s="3"/>
      <c r="GT1161" s="4"/>
      <c r="GU1161" s="4"/>
      <c r="GV1161" s="4"/>
      <c r="GW1161" s="4"/>
      <c r="GX1161" s="4"/>
      <c r="GY1161" s="4"/>
      <c r="GZ1161" s="4"/>
      <c r="HA1161" s="4"/>
    </row>
    <row r="1162" spans="1:209" ht="37.5" customHeight="1" x14ac:dyDescent="0.2">
      <c r="A1162" s="402" t="s">
        <v>1882</v>
      </c>
      <c r="B1162" s="381" t="s">
        <v>1193</v>
      </c>
      <c r="C1162" s="384" t="s">
        <v>228</v>
      </c>
      <c r="D1162" s="389">
        <v>764.71</v>
      </c>
      <c r="E1162" s="14">
        <f t="shared" si="106"/>
        <v>152.94</v>
      </c>
      <c r="F1162" s="97">
        <f t="shared" si="107"/>
        <v>917.65</v>
      </c>
      <c r="EH1162" s="3"/>
      <c r="GS1162" s="3"/>
      <c r="GT1162" s="4"/>
      <c r="GU1162" s="4"/>
      <c r="GV1162" s="4"/>
      <c r="GW1162" s="4"/>
      <c r="GX1162" s="4"/>
      <c r="GY1162" s="4"/>
      <c r="GZ1162" s="4"/>
      <c r="HA1162" s="4"/>
    </row>
    <row r="1163" spans="1:209" ht="22.5" customHeight="1" x14ac:dyDescent="0.75">
      <c r="A1163" s="402" t="s">
        <v>1883</v>
      </c>
      <c r="B1163" s="381" t="s">
        <v>1293</v>
      </c>
      <c r="C1163" s="384" t="s">
        <v>228</v>
      </c>
      <c r="D1163" s="389">
        <v>553.08000000000004</v>
      </c>
      <c r="E1163" s="14">
        <f t="shared" si="106"/>
        <v>110.62</v>
      </c>
      <c r="F1163" s="97">
        <f t="shared" si="107"/>
        <v>663.7</v>
      </c>
      <c r="EH1163" s="3"/>
      <c r="GS1163" s="358"/>
      <c r="GT1163" s="4"/>
      <c r="GU1163" s="4"/>
      <c r="GV1163" s="4"/>
      <c r="GW1163" s="4"/>
      <c r="GX1163" s="4"/>
      <c r="GY1163" s="4"/>
      <c r="GZ1163" s="4"/>
      <c r="HA1163" s="4"/>
    </row>
    <row r="1164" spans="1:209" ht="33.75" customHeight="1" x14ac:dyDescent="0.2">
      <c r="A1164" s="402" t="s">
        <v>1884</v>
      </c>
      <c r="B1164" s="392" t="s">
        <v>1294</v>
      </c>
      <c r="C1164" s="384" t="s">
        <v>228</v>
      </c>
      <c r="D1164" s="389">
        <v>320.33999999999997</v>
      </c>
      <c r="E1164" s="14">
        <f t="shared" si="106"/>
        <v>64.069999999999993</v>
      </c>
      <c r="F1164" s="97">
        <f t="shared" si="107"/>
        <v>384.41</v>
      </c>
      <c r="EH1164" s="3"/>
      <c r="GS1164" s="3"/>
      <c r="GT1164" s="4"/>
      <c r="GU1164" s="4"/>
      <c r="GV1164" s="4"/>
      <c r="GW1164" s="4"/>
      <c r="GX1164" s="4"/>
      <c r="GY1164" s="4"/>
      <c r="GZ1164" s="4"/>
      <c r="HA1164" s="4"/>
    </row>
    <row r="1165" spans="1:209" ht="32.25" customHeight="1" x14ac:dyDescent="0.2">
      <c r="A1165" s="402" t="s">
        <v>1885</v>
      </c>
      <c r="B1165" s="381" t="s">
        <v>1295</v>
      </c>
      <c r="C1165" s="384" t="s">
        <v>228</v>
      </c>
      <c r="D1165" s="389">
        <v>528.44000000000005</v>
      </c>
      <c r="E1165" s="14">
        <f t="shared" si="106"/>
        <v>105.69</v>
      </c>
      <c r="F1165" s="97">
        <f t="shared" si="107"/>
        <v>634.13</v>
      </c>
      <c r="EH1165" s="3"/>
      <c r="GS1165" s="3"/>
      <c r="GT1165" s="4"/>
      <c r="GU1165" s="4"/>
      <c r="GV1165" s="4"/>
      <c r="GW1165" s="4"/>
      <c r="GX1165" s="4"/>
      <c r="GY1165" s="4"/>
      <c r="GZ1165" s="4"/>
      <c r="HA1165" s="4"/>
    </row>
    <row r="1166" spans="1:209" ht="30" customHeight="1" x14ac:dyDescent="0.2">
      <c r="A1166" s="402" t="s">
        <v>1886</v>
      </c>
      <c r="B1166" s="381" t="s">
        <v>1296</v>
      </c>
      <c r="C1166" s="384" t="s">
        <v>228</v>
      </c>
      <c r="D1166" s="389">
        <v>403.14</v>
      </c>
      <c r="E1166" s="14">
        <f t="shared" si="106"/>
        <v>80.63</v>
      </c>
      <c r="F1166" s="97">
        <f t="shared" si="107"/>
        <v>483.77</v>
      </c>
      <c r="EH1166" s="3"/>
      <c r="GS1166" s="3"/>
      <c r="GT1166" s="4"/>
      <c r="GU1166" s="4"/>
      <c r="GV1166" s="4"/>
      <c r="GW1166" s="4"/>
      <c r="GX1166" s="4"/>
      <c r="GY1166" s="4"/>
      <c r="GZ1166" s="4"/>
      <c r="HA1166" s="4"/>
    </row>
    <row r="1167" spans="1:209" ht="42.75" customHeight="1" x14ac:dyDescent="0.2">
      <c r="A1167" s="402" t="s">
        <v>1887</v>
      </c>
      <c r="B1167" s="392" t="s">
        <v>1297</v>
      </c>
      <c r="C1167" s="384" t="s">
        <v>228</v>
      </c>
      <c r="D1167" s="389">
        <v>206.78</v>
      </c>
      <c r="E1167" s="14">
        <f t="shared" si="106"/>
        <v>41.36</v>
      </c>
      <c r="F1167" s="97">
        <f t="shared" si="107"/>
        <v>248.14</v>
      </c>
      <c r="EH1167" s="3"/>
      <c r="GS1167" s="3"/>
      <c r="GT1167" s="4"/>
      <c r="GU1167" s="4"/>
      <c r="GV1167" s="4"/>
      <c r="GW1167" s="4"/>
      <c r="GX1167" s="4"/>
      <c r="GY1167" s="4"/>
      <c r="GZ1167" s="4"/>
      <c r="HA1167" s="4"/>
    </row>
    <row r="1168" spans="1:209" ht="18.75" customHeight="1" x14ac:dyDescent="0.2">
      <c r="A1168" s="402" t="s">
        <v>1888</v>
      </c>
      <c r="B1168" s="381" t="s">
        <v>1298</v>
      </c>
      <c r="C1168" s="384" t="s">
        <v>228</v>
      </c>
      <c r="D1168" s="389">
        <v>211.39</v>
      </c>
      <c r="E1168" s="14">
        <f t="shared" si="106"/>
        <v>42.28</v>
      </c>
      <c r="F1168" s="97">
        <f t="shared" si="107"/>
        <v>253.67</v>
      </c>
      <c r="EH1168" s="3"/>
      <c r="GS1168" s="3"/>
      <c r="GT1168" s="4"/>
      <c r="GU1168" s="4"/>
      <c r="GV1168" s="4"/>
      <c r="GW1168" s="4"/>
      <c r="GX1168" s="4"/>
      <c r="GY1168" s="4"/>
      <c r="GZ1168" s="4"/>
      <c r="HA1168" s="4"/>
    </row>
    <row r="1169" spans="1:209" ht="35.25" customHeight="1" x14ac:dyDescent="0.2">
      <c r="A1169" s="402" t="s">
        <v>1889</v>
      </c>
      <c r="B1169" s="392" t="s">
        <v>1299</v>
      </c>
      <c r="C1169" s="384" t="s">
        <v>228</v>
      </c>
      <c r="D1169" s="389">
        <v>115.85</v>
      </c>
      <c r="E1169" s="14">
        <f t="shared" si="106"/>
        <v>23.17</v>
      </c>
      <c r="F1169" s="97">
        <f t="shared" si="107"/>
        <v>139.02000000000001</v>
      </c>
      <c r="EH1169" s="3"/>
      <c r="GS1169" s="3"/>
      <c r="GT1169" s="4"/>
      <c r="GU1169" s="4"/>
      <c r="GV1169" s="4"/>
      <c r="GW1169" s="4"/>
      <c r="GX1169" s="4"/>
      <c r="GY1169" s="4"/>
      <c r="GZ1169" s="4"/>
      <c r="HA1169" s="4"/>
    </row>
    <row r="1170" spans="1:209" ht="15.75" x14ac:dyDescent="0.2">
      <c r="A1170" s="402" t="s">
        <v>1890</v>
      </c>
      <c r="B1170" s="430" t="s">
        <v>1300</v>
      </c>
      <c r="C1170" s="430"/>
      <c r="D1170" s="430"/>
      <c r="E1170" s="430"/>
      <c r="F1170" s="430"/>
      <c r="EH1170" s="3"/>
      <c r="GS1170" s="3"/>
      <c r="GT1170" s="4"/>
      <c r="GU1170" s="4"/>
      <c r="GV1170" s="4"/>
      <c r="GW1170" s="4"/>
      <c r="GX1170" s="4"/>
      <c r="GY1170" s="4"/>
      <c r="GZ1170" s="4"/>
      <c r="HA1170" s="4"/>
    </row>
    <row r="1171" spans="1:209" ht="15.75" x14ac:dyDescent="0.2">
      <c r="A1171" s="26" t="s">
        <v>1915</v>
      </c>
      <c r="B1171" s="381" t="s">
        <v>1301</v>
      </c>
      <c r="C1171" s="384" t="s">
        <v>228</v>
      </c>
      <c r="D1171" s="13">
        <f>D1100</f>
        <v>846.93</v>
      </c>
      <c r="E1171" s="14">
        <f t="shared" ref="E1171:E1179" si="108">D1171*20%</f>
        <v>169.39</v>
      </c>
      <c r="F1171" s="97">
        <f t="shared" ref="F1171:F1179" si="109">D1171+E1171</f>
        <v>1016.32</v>
      </c>
      <c r="EH1171" s="3"/>
      <c r="GS1171" s="3"/>
      <c r="GT1171" s="4"/>
      <c r="GU1171" s="4"/>
      <c r="GV1171" s="4"/>
      <c r="GW1171" s="4"/>
      <c r="GX1171" s="4"/>
      <c r="GY1171" s="4"/>
      <c r="GZ1171" s="4"/>
      <c r="HA1171" s="4"/>
    </row>
    <row r="1172" spans="1:209" ht="15.75" x14ac:dyDescent="0.2">
      <c r="A1172" s="26" t="s">
        <v>1916</v>
      </c>
      <c r="B1172" s="381" t="s">
        <v>1302</v>
      </c>
      <c r="C1172" s="384" t="s">
        <v>228</v>
      </c>
      <c r="D1172" s="13">
        <f>D1102</f>
        <v>875.6</v>
      </c>
      <c r="E1172" s="14">
        <f t="shared" si="108"/>
        <v>175.12</v>
      </c>
      <c r="F1172" s="97">
        <f t="shared" si="109"/>
        <v>1050.72</v>
      </c>
      <c r="EH1172" s="3"/>
      <c r="GS1172" s="3"/>
      <c r="GT1172" s="4"/>
      <c r="GU1172" s="4"/>
      <c r="GV1172" s="4"/>
      <c r="GW1172" s="4"/>
      <c r="GX1172" s="4"/>
      <c r="GY1172" s="4"/>
      <c r="GZ1172" s="4"/>
      <c r="HA1172" s="4"/>
    </row>
    <row r="1173" spans="1:209" ht="15.75" x14ac:dyDescent="0.2">
      <c r="A1173" s="26" t="s">
        <v>1917</v>
      </c>
      <c r="B1173" s="381" t="s">
        <v>1303</v>
      </c>
      <c r="C1173" s="384" t="s">
        <v>228</v>
      </c>
      <c r="D1173" s="13">
        <f>D1104</f>
        <v>640.45000000000005</v>
      </c>
      <c r="E1173" s="14">
        <f t="shared" si="108"/>
        <v>128.09</v>
      </c>
      <c r="F1173" s="97">
        <f t="shared" si="109"/>
        <v>768.54</v>
      </c>
      <c r="EH1173" s="3"/>
      <c r="GS1173" s="3"/>
      <c r="GT1173" s="4"/>
      <c r="GU1173" s="4"/>
      <c r="GV1173" s="4"/>
      <c r="GW1173" s="4"/>
      <c r="GX1173" s="4"/>
      <c r="GY1173" s="4"/>
      <c r="GZ1173" s="4"/>
      <c r="HA1173" s="4"/>
    </row>
    <row r="1174" spans="1:209" ht="15.75" x14ac:dyDescent="0.2">
      <c r="A1174" s="26" t="s">
        <v>1918</v>
      </c>
      <c r="B1174" s="381" t="s">
        <v>1304</v>
      </c>
      <c r="C1174" s="384" t="s">
        <v>228</v>
      </c>
      <c r="D1174" s="13">
        <f>D1106</f>
        <v>791.31</v>
      </c>
      <c r="E1174" s="14">
        <f t="shared" si="108"/>
        <v>158.26</v>
      </c>
      <c r="F1174" s="97">
        <f t="shared" si="109"/>
        <v>949.57</v>
      </c>
      <c r="EH1174" s="3"/>
      <c r="GS1174" s="3"/>
      <c r="GT1174" s="4"/>
      <c r="GU1174" s="4"/>
      <c r="GV1174" s="4"/>
      <c r="GW1174" s="4"/>
      <c r="GX1174" s="4"/>
      <c r="GY1174" s="4"/>
      <c r="GZ1174" s="4"/>
      <c r="HA1174" s="4"/>
    </row>
    <row r="1175" spans="1:209" ht="15.75" x14ac:dyDescent="0.2">
      <c r="A1175" s="26" t="s">
        <v>1919</v>
      </c>
      <c r="B1175" s="381" t="s">
        <v>1305</v>
      </c>
      <c r="C1175" s="384" t="s">
        <v>228</v>
      </c>
      <c r="D1175" s="13">
        <f>D1108</f>
        <v>777.67</v>
      </c>
      <c r="E1175" s="14">
        <f t="shared" si="108"/>
        <v>155.53</v>
      </c>
      <c r="F1175" s="97">
        <f t="shared" si="109"/>
        <v>933.2</v>
      </c>
      <c r="EH1175" s="3"/>
      <c r="GS1175" s="3"/>
      <c r="GT1175" s="4"/>
      <c r="GU1175" s="4"/>
      <c r="GV1175" s="4"/>
      <c r="GW1175" s="4"/>
      <c r="GX1175" s="4"/>
      <c r="GY1175" s="4"/>
      <c r="GZ1175" s="4"/>
      <c r="HA1175" s="4"/>
    </row>
    <row r="1176" spans="1:209" ht="15.75" x14ac:dyDescent="0.2">
      <c r="A1176" s="26" t="s">
        <v>1920</v>
      </c>
      <c r="B1176" s="381" t="s">
        <v>1306</v>
      </c>
      <c r="C1176" s="384" t="s">
        <v>228</v>
      </c>
      <c r="D1176" s="13">
        <f>D1110</f>
        <v>875.6</v>
      </c>
      <c r="E1176" s="14">
        <f t="shared" si="108"/>
        <v>175.12</v>
      </c>
      <c r="F1176" s="97">
        <f t="shared" si="109"/>
        <v>1050.72</v>
      </c>
      <c r="EH1176" s="3"/>
      <c r="GS1176" s="3"/>
      <c r="GT1176" s="4"/>
      <c r="GU1176" s="4"/>
      <c r="GV1176" s="4"/>
      <c r="GW1176" s="4"/>
      <c r="GX1176" s="4"/>
      <c r="GY1176" s="4"/>
      <c r="GZ1176" s="4"/>
      <c r="HA1176" s="4"/>
    </row>
    <row r="1177" spans="1:209" ht="15.75" x14ac:dyDescent="0.2">
      <c r="A1177" s="26" t="s">
        <v>1921</v>
      </c>
      <c r="B1177" s="161" t="s">
        <v>1307</v>
      </c>
      <c r="C1177" s="384" t="s">
        <v>228</v>
      </c>
      <c r="D1177" s="13">
        <v>846.93</v>
      </c>
      <c r="E1177" s="14">
        <f t="shared" si="108"/>
        <v>169.39</v>
      </c>
      <c r="F1177" s="97">
        <f t="shared" si="109"/>
        <v>1016.32</v>
      </c>
      <c r="EH1177" s="3"/>
      <c r="GS1177" s="440"/>
      <c r="GT1177" s="4"/>
      <c r="GU1177" s="4"/>
      <c r="GV1177" s="4"/>
      <c r="GW1177" s="4"/>
      <c r="GX1177" s="4"/>
      <c r="GY1177" s="4"/>
      <c r="GZ1177" s="4"/>
      <c r="HA1177" s="4"/>
    </row>
    <row r="1178" spans="1:209" ht="15.75" x14ac:dyDescent="0.25">
      <c r="A1178" s="26" t="s">
        <v>1922</v>
      </c>
      <c r="B1178" s="125" t="s">
        <v>1308</v>
      </c>
      <c r="C1178" s="384" t="s">
        <v>228</v>
      </c>
      <c r="D1178" s="13">
        <v>846.93</v>
      </c>
      <c r="E1178" s="14">
        <f t="shared" si="108"/>
        <v>169.39</v>
      </c>
      <c r="F1178" s="97">
        <f t="shared" si="109"/>
        <v>1016.32</v>
      </c>
      <c r="EH1178" s="3"/>
      <c r="GS1178" s="440"/>
      <c r="GT1178" s="4"/>
      <c r="GU1178" s="4"/>
      <c r="GV1178" s="4"/>
      <c r="GW1178" s="4"/>
      <c r="GX1178" s="4"/>
      <c r="GY1178" s="4"/>
      <c r="GZ1178" s="4"/>
      <c r="HA1178" s="4"/>
    </row>
    <row r="1179" spans="1:209" ht="15.75" x14ac:dyDescent="0.25">
      <c r="A1179" s="26" t="s">
        <v>1923</v>
      </c>
      <c r="B1179" s="125" t="s">
        <v>1309</v>
      </c>
      <c r="C1179" s="384" t="s">
        <v>228</v>
      </c>
      <c r="D1179" s="13">
        <v>846.93</v>
      </c>
      <c r="E1179" s="14">
        <f t="shared" si="108"/>
        <v>169.39</v>
      </c>
      <c r="F1179" s="97">
        <f t="shared" si="109"/>
        <v>1016.32</v>
      </c>
      <c r="EH1179" s="3"/>
      <c r="GS1179" s="440"/>
      <c r="GT1179" s="4"/>
      <c r="GU1179" s="4"/>
      <c r="GV1179" s="4"/>
      <c r="GW1179" s="4"/>
      <c r="GX1179" s="4"/>
      <c r="GY1179" s="4"/>
      <c r="GZ1179" s="4"/>
      <c r="HA1179" s="4"/>
    </row>
    <row r="1180" spans="1:209" ht="15.75" x14ac:dyDescent="0.2">
      <c r="A1180" s="402">
        <v>61</v>
      </c>
      <c r="B1180" s="441" t="s">
        <v>1310</v>
      </c>
      <c r="C1180" s="441"/>
      <c r="D1180" s="441"/>
      <c r="E1180" s="441"/>
      <c r="F1180" s="441"/>
      <c r="EH1180" s="3"/>
      <c r="GS1180" s="3"/>
      <c r="GT1180" s="4"/>
      <c r="GU1180" s="4"/>
      <c r="GV1180" s="4"/>
      <c r="GW1180" s="4"/>
      <c r="GX1180" s="4"/>
      <c r="GY1180" s="4"/>
      <c r="GZ1180" s="4"/>
      <c r="HA1180" s="4"/>
    </row>
    <row r="1181" spans="1:209" ht="15.75" x14ac:dyDescent="0.2">
      <c r="A1181" s="26" t="s">
        <v>1924</v>
      </c>
      <c r="B1181" s="116" t="s">
        <v>1311</v>
      </c>
      <c r="C1181" s="384" t="s">
        <v>228</v>
      </c>
      <c r="D1181" s="379">
        <v>821.29</v>
      </c>
      <c r="E1181" s="14">
        <f t="shared" ref="E1181:E1189" si="110">D1181*20%</f>
        <v>164.26</v>
      </c>
      <c r="F1181" s="97">
        <f t="shared" ref="F1181:F1186" si="111">D1181+E1181</f>
        <v>985.55</v>
      </c>
      <c r="EH1181" s="3"/>
      <c r="GS1181" s="3"/>
      <c r="GT1181" s="4"/>
      <c r="GU1181" s="4"/>
      <c r="GV1181" s="4"/>
      <c r="GW1181" s="4"/>
      <c r="GX1181" s="4"/>
      <c r="GY1181" s="4"/>
      <c r="GZ1181" s="4"/>
      <c r="HA1181" s="4"/>
    </row>
    <row r="1182" spans="1:209" ht="15.75" x14ac:dyDescent="0.25">
      <c r="A1182" s="26" t="s">
        <v>1925</v>
      </c>
      <c r="B1182" s="162" t="s">
        <v>1312</v>
      </c>
      <c r="C1182" s="384" t="s">
        <v>228</v>
      </c>
      <c r="D1182" s="379">
        <v>821.29</v>
      </c>
      <c r="E1182" s="14">
        <f t="shared" si="110"/>
        <v>164.26</v>
      </c>
      <c r="F1182" s="97">
        <f t="shared" si="111"/>
        <v>985.55</v>
      </c>
      <c r="EH1182" s="3"/>
      <c r="GS1182" s="3"/>
      <c r="GT1182" s="4"/>
      <c r="GU1182" s="4"/>
      <c r="GV1182" s="4"/>
      <c r="GW1182" s="4"/>
      <c r="GX1182" s="4"/>
      <c r="GY1182" s="4"/>
      <c r="GZ1182" s="4"/>
      <c r="HA1182" s="4"/>
    </row>
    <row r="1183" spans="1:209" ht="15.75" x14ac:dyDescent="0.2">
      <c r="A1183" s="26" t="s">
        <v>1926</v>
      </c>
      <c r="B1183" s="116" t="s">
        <v>1313</v>
      </c>
      <c r="C1183" s="384" t="s">
        <v>228</v>
      </c>
      <c r="D1183" s="379">
        <v>821.29</v>
      </c>
      <c r="E1183" s="14">
        <f t="shared" si="110"/>
        <v>164.26</v>
      </c>
      <c r="F1183" s="97">
        <f t="shared" si="111"/>
        <v>985.55</v>
      </c>
      <c r="EH1183" s="3"/>
      <c r="GS1183" s="3"/>
      <c r="GT1183" s="4"/>
      <c r="GU1183" s="4"/>
      <c r="GV1183" s="4"/>
      <c r="GW1183" s="4"/>
      <c r="GX1183" s="4"/>
      <c r="GY1183" s="4"/>
      <c r="GZ1183" s="4"/>
      <c r="HA1183" s="4"/>
    </row>
    <row r="1184" spans="1:209" ht="47.25" customHeight="1" x14ac:dyDescent="0.2">
      <c r="A1184" s="402" t="s">
        <v>1892</v>
      </c>
      <c r="B1184" s="163" t="s">
        <v>1273</v>
      </c>
      <c r="C1184" s="384" t="s">
        <v>228</v>
      </c>
      <c r="D1184" s="13">
        <v>299.85000000000002</v>
      </c>
      <c r="E1184" s="14">
        <f t="shared" si="110"/>
        <v>59.97</v>
      </c>
      <c r="F1184" s="97">
        <f t="shared" si="111"/>
        <v>359.82</v>
      </c>
      <c r="EH1184" s="3"/>
      <c r="GS1184" s="3"/>
      <c r="GT1184" s="4"/>
      <c r="GU1184" s="4"/>
      <c r="GV1184" s="4"/>
      <c r="GW1184" s="4"/>
      <c r="GX1184" s="4"/>
      <c r="GY1184" s="4"/>
      <c r="GZ1184" s="4"/>
      <c r="HA1184" s="4"/>
    </row>
    <row r="1185" spans="1:209" ht="18" customHeight="1" x14ac:dyDescent="0.2">
      <c r="A1185" s="402" t="s">
        <v>1893</v>
      </c>
      <c r="B1185" s="111" t="s">
        <v>1314</v>
      </c>
      <c r="C1185" s="384" t="s">
        <v>228</v>
      </c>
      <c r="D1185" s="13">
        <v>367.85</v>
      </c>
      <c r="E1185" s="14">
        <f t="shared" si="110"/>
        <v>73.569999999999993</v>
      </c>
      <c r="F1185" s="97">
        <f t="shared" si="111"/>
        <v>441.42</v>
      </c>
      <c r="EH1185" s="3"/>
      <c r="GS1185" s="3"/>
      <c r="GT1185" s="4"/>
      <c r="GU1185" s="4"/>
      <c r="GV1185" s="4"/>
      <c r="GW1185" s="4"/>
      <c r="GX1185" s="4"/>
      <c r="GY1185" s="4"/>
      <c r="GZ1185" s="4"/>
      <c r="HA1185" s="4"/>
    </row>
    <row r="1186" spans="1:209" s="39" customFormat="1" ht="65.25" customHeight="1" x14ac:dyDescent="0.2">
      <c r="A1186" s="442" t="s">
        <v>1894</v>
      </c>
      <c r="B1186" s="394" t="s">
        <v>1315</v>
      </c>
      <c r="C1186" s="426" t="s">
        <v>1316</v>
      </c>
      <c r="D1186" s="443">
        <v>101136.5</v>
      </c>
      <c r="E1186" s="444">
        <f t="shared" si="110"/>
        <v>20227.3</v>
      </c>
      <c r="F1186" s="444">
        <f t="shared" si="111"/>
        <v>121363.8</v>
      </c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EH1186" s="445" t="s">
        <v>1317</v>
      </c>
      <c r="GS1186" s="3"/>
      <c r="GT1186" s="4"/>
      <c r="GU1186" s="4"/>
      <c r="GV1186" s="4"/>
      <c r="GW1186" s="4"/>
      <c r="GX1186" s="4"/>
      <c r="GY1186" s="4"/>
      <c r="GZ1186" s="4"/>
      <c r="HA1186" s="4"/>
    </row>
    <row r="1187" spans="1:209" s="39" customFormat="1" ht="16.5" customHeight="1" x14ac:dyDescent="0.2">
      <c r="A1187" s="442"/>
      <c r="B1187" s="379" t="s">
        <v>1318</v>
      </c>
      <c r="C1187" s="426"/>
      <c r="D1187" s="443"/>
      <c r="E1187" s="444"/>
      <c r="F1187" s="444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EH1187" s="445"/>
      <c r="GS1187" s="3"/>
      <c r="GT1187" s="4"/>
      <c r="GU1187" s="4"/>
      <c r="GV1187" s="4"/>
      <c r="GW1187" s="4"/>
      <c r="GX1187" s="4"/>
      <c r="GY1187" s="4"/>
      <c r="GZ1187" s="4"/>
      <c r="HA1187" s="4"/>
    </row>
    <row r="1188" spans="1:209" s="39" customFormat="1" ht="20.25" customHeight="1" x14ac:dyDescent="0.2">
      <c r="A1188" s="442"/>
      <c r="B1188" s="379" t="s">
        <v>1319</v>
      </c>
      <c r="C1188" s="426"/>
      <c r="D1188" s="13">
        <v>129467.39</v>
      </c>
      <c r="E1188" s="14">
        <f t="shared" si="110"/>
        <v>25893.48</v>
      </c>
      <c r="F1188" s="14">
        <f>D1188+E1188</f>
        <v>155360.87</v>
      </c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EH1188" s="445"/>
      <c r="GS1188" s="3"/>
      <c r="GT1188" s="4"/>
      <c r="GU1188" s="4"/>
      <c r="GV1188" s="4"/>
      <c r="GW1188" s="4"/>
      <c r="GX1188" s="4"/>
      <c r="GY1188" s="4"/>
      <c r="GZ1188" s="4"/>
      <c r="HA1188" s="4"/>
    </row>
    <row r="1189" spans="1:209" s="39" customFormat="1" ht="20.25" customHeight="1" x14ac:dyDescent="0.2">
      <c r="A1189" s="442"/>
      <c r="B1189" s="379" t="s">
        <v>1320</v>
      </c>
      <c r="C1189" s="426"/>
      <c r="D1189" s="13">
        <v>186129.17</v>
      </c>
      <c r="E1189" s="14">
        <f t="shared" si="110"/>
        <v>37225.83</v>
      </c>
      <c r="F1189" s="14">
        <f>D1189+E1189</f>
        <v>223355</v>
      </c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EH1189" s="445"/>
      <c r="GS1189" s="3"/>
      <c r="GT1189" s="4"/>
      <c r="GU1189" s="4"/>
      <c r="GV1189" s="4"/>
      <c r="GW1189" s="4"/>
      <c r="GX1189" s="4"/>
      <c r="GY1189" s="4"/>
      <c r="GZ1189" s="4"/>
      <c r="HA1189" s="4"/>
    </row>
    <row r="1190" spans="1:209" s="39" customFormat="1" ht="37.5" customHeight="1" x14ac:dyDescent="0.2">
      <c r="A1190" s="246" t="s">
        <v>1895</v>
      </c>
      <c r="B1190" s="103" t="s">
        <v>2280</v>
      </c>
      <c r="C1190" s="122" t="s">
        <v>1666</v>
      </c>
      <c r="D1190" s="389">
        <v>798.2</v>
      </c>
      <c r="E1190" s="14">
        <f t="shared" ref="E1190:E1193" si="112">D1190*20%</f>
        <v>159.63999999999999</v>
      </c>
      <c r="F1190" s="97">
        <f t="shared" ref="F1190:F1193" si="113">D1190+E1190</f>
        <v>957.84</v>
      </c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EH1190" s="368"/>
      <c r="GS1190" s="3"/>
      <c r="GT1190" s="4"/>
      <c r="GU1190" s="4"/>
      <c r="GV1190" s="4"/>
      <c r="GW1190" s="4"/>
      <c r="GX1190" s="4"/>
      <c r="GY1190" s="4"/>
      <c r="GZ1190" s="4"/>
      <c r="HA1190" s="4"/>
    </row>
    <row r="1191" spans="1:209" s="39" customFormat="1" ht="37.5" customHeight="1" x14ac:dyDescent="0.2">
      <c r="A1191" s="246" t="s">
        <v>1896</v>
      </c>
      <c r="B1191" s="103" t="s">
        <v>2281</v>
      </c>
      <c r="C1191" s="122" t="s">
        <v>1666</v>
      </c>
      <c r="D1191" s="389">
        <v>793.14</v>
      </c>
      <c r="E1191" s="14">
        <f t="shared" si="112"/>
        <v>158.63</v>
      </c>
      <c r="F1191" s="97">
        <f t="shared" si="113"/>
        <v>951.77</v>
      </c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EH1191" s="368"/>
      <c r="GS1191" s="3"/>
      <c r="GT1191" s="4"/>
      <c r="GU1191" s="4"/>
      <c r="GV1191" s="4"/>
      <c r="GW1191" s="4"/>
      <c r="GX1191" s="4"/>
      <c r="GY1191" s="4"/>
      <c r="GZ1191" s="4"/>
      <c r="HA1191" s="4"/>
    </row>
    <row r="1192" spans="1:209" s="39" customFormat="1" ht="37.5" customHeight="1" x14ac:dyDescent="0.2">
      <c r="A1192" s="246" t="s">
        <v>1897</v>
      </c>
      <c r="B1192" s="103" t="s">
        <v>2282</v>
      </c>
      <c r="C1192" s="122" t="s">
        <v>1666</v>
      </c>
      <c r="D1192" s="389">
        <v>973.22</v>
      </c>
      <c r="E1192" s="14">
        <f t="shared" si="112"/>
        <v>194.64</v>
      </c>
      <c r="F1192" s="97">
        <f t="shared" si="113"/>
        <v>1167.8599999999999</v>
      </c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EH1192" s="368"/>
      <c r="GS1192" s="3"/>
      <c r="GT1192" s="4"/>
      <c r="GU1192" s="4"/>
      <c r="GV1192" s="4"/>
      <c r="GW1192" s="4"/>
      <c r="GX1192" s="4"/>
      <c r="GY1192" s="4"/>
      <c r="GZ1192" s="4"/>
      <c r="HA1192" s="4"/>
    </row>
    <row r="1193" spans="1:209" s="39" customFormat="1" ht="37.5" customHeight="1" x14ac:dyDescent="0.2">
      <c r="A1193" s="246" t="s">
        <v>1898</v>
      </c>
      <c r="B1193" s="103" t="s">
        <v>2283</v>
      </c>
      <c r="C1193" s="122" t="s">
        <v>1666</v>
      </c>
      <c r="D1193" s="389">
        <v>689.06</v>
      </c>
      <c r="E1193" s="14">
        <f t="shared" si="112"/>
        <v>137.81</v>
      </c>
      <c r="F1193" s="97">
        <f t="shared" si="113"/>
        <v>826.87</v>
      </c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EH1193" s="368"/>
      <c r="GS1193" s="3"/>
      <c r="GT1193" s="4"/>
      <c r="GU1193" s="4"/>
      <c r="GV1193" s="4"/>
      <c r="GW1193" s="4"/>
      <c r="GX1193" s="4"/>
      <c r="GY1193" s="4"/>
      <c r="GZ1193" s="4"/>
      <c r="HA1193" s="4"/>
    </row>
    <row r="1194" spans="1:209" s="39" customFormat="1" ht="20.25" customHeight="1" x14ac:dyDescent="0.2">
      <c r="A1194" s="287"/>
      <c r="B1194" s="119"/>
      <c r="C1194" s="119"/>
      <c r="D1194" s="274"/>
      <c r="E1194" s="96"/>
      <c r="F1194" s="96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EH1194" s="368"/>
      <c r="GS1194" s="3"/>
      <c r="GT1194" s="4"/>
      <c r="GU1194" s="4"/>
      <c r="GV1194" s="4"/>
      <c r="GW1194" s="4"/>
      <c r="GX1194" s="4"/>
      <c r="GY1194" s="4"/>
      <c r="GZ1194" s="4"/>
      <c r="HA1194" s="4"/>
    </row>
    <row r="1195" spans="1:209" s="39" customFormat="1" ht="20.25" customHeight="1" x14ac:dyDescent="0.2">
      <c r="A1195" s="287"/>
      <c r="B1195" s="119"/>
      <c r="C1195" s="119"/>
      <c r="D1195" s="274"/>
      <c r="E1195" s="96"/>
      <c r="F1195" s="96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EH1195" s="357"/>
      <c r="GS1195" s="3"/>
      <c r="GT1195" s="4"/>
      <c r="GU1195" s="4"/>
      <c r="GV1195" s="4"/>
      <c r="GW1195" s="4"/>
      <c r="GX1195" s="4"/>
      <c r="GY1195" s="4"/>
      <c r="GZ1195" s="4"/>
      <c r="HA1195" s="4"/>
    </row>
    <row r="1196" spans="1:209" s="39" customFormat="1" ht="20.25" customHeight="1" x14ac:dyDescent="0.2">
      <c r="A1196" s="287"/>
      <c r="B1196" s="119"/>
      <c r="C1196" s="119"/>
      <c r="D1196" s="274"/>
      <c r="E1196" s="96"/>
      <c r="F1196" s="96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EH1196" s="357"/>
      <c r="GS1196" s="3"/>
      <c r="GT1196" s="4"/>
      <c r="GU1196" s="4"/>
      <c r="GV1196" s="4"/>
      <c r="GW1196" s="4"/>
      <c r="GX1196" s="4"/>
      <c r="GY1196" s="4"/>
      <c r="GZ1196" s="4"/>
      <c r="HA1196" s="4"/>
    </row>
    <row r="1197" spans="1:209" ht="22.5" customHeight="1" x14ac:dyDescent="0.2">
      <c r="A1197" s="164"/>
      <c r="B1197" s="165"/>
      <c r="C1197" s="119"/>
      <c r="D1197" s="119"/>
      <c r="E1197" s="154"/>
      <c r="F1197" s="154"/>
      <c r="EH1197" s="3"/>
      <c r="GS1197" s="3"/>
      <c r="GT1197" s="4"/>
      <c r="GU1197" s="4"/>
      <c r="GV1197" s="4"/>
      <c r="GW1197" s="4"/>
      <c r="GX1197" s="4"/>
      <c r="GY1197" s="4"/>
      <c r="GZ1197" s="4"/>
      <c r="HA1197" s="4"/>
    </row>
    <row r="1198" spans="1:209" ht="22.5" customHeight="1" x14ac:dyDescent="0.2">
      <c r="A1198" s="164"/>
      <c r="B1198" s="165"/>
      <c r="C1198" s="119"/>
      <c r="D1198" s="119"/>
      <c r="E1198" s="154"/>
      <c r="F1198" s="154"/>
      <c r="EH1198" s="3"/>
      <c r="GS1198" s="3"/>
      <c r="GT1198" s="4"/>
      <c r="GU1198" s="4"/>
      <c r="GV1198" s="4"/>
      <c r="GW1198" s="4"/>
      <c r="GX1198" s="4"/>
      <c r="GY1198" s="4"/>
      <c r="GZ1198" s="4"/>
      <c r="HA1198" s="4"/>
    </row>
    <row r="1199" spans="1:209" ht="29.25" customHeight="1" x14ac:dyDescent="0.2">
      <c r="A1199" s="420" t="s">
        <v>2036</v>
      </c>
      <c r="B1199" s="420"/>
      <c r="C1199" s="420"/>
      <c r="D1199" s="420"/>
      <c r="E1199" s="420"/>
      <c r="F1199" s="420"/>
      <c r="EH1199" s="3"/>
      <c r="GS1199" s="3"/>
      <c r="GT1199" s="4"/>
      <c r="GU1199" s="4"/>
      <c r="GV1199" s="4"/>
      <c r="GW1199" s="4"/>
      <c r="GX1199" s="4"/>
      <c r="GY1199" s="4"/>
      <c r="GZ1199" s="4"/>
      <c r="HA1199" s="4"/>
    </row>
    <row r="1200" spans="1:209" ht="66" customHeight="1" x14ac:dyDescent="0.2">
      <c r="A1200" s="108" t="s">
        <v>1321</v>
      </c>
      <c r="B1200" s="380" t="s">
        <v>1021</v>
      </c>
      <c r="C1200" s="380" t="s">
        <v>9</v>
      </c>
      <c r="D1200" s="386" t="s">
        <v>10</v>
      </c>
      <c r="E1200" s="8" t="s">
        <v>11</v>
      </c>
      <c r="F1200" s="386" t="s">
        <v>12</v>
      </c>
      <c r="EH1200" s="3"/>
      <c r="GS1200" s="3"/>
      <c r="GT1200" s="4"/>
      <c r="GU1200" s="4"/>
      <c r="GV1200" s="4"/>
      <c r="GW1200" s="4"/>
      <c r="GX1200" s="4"/>
      <c r="GY1200" s="4"/>
      <c r="GZ1200" s="4"/>
      <c r="HA1200" s="4"/>
    </row>
    <row r="1201" spans="1:256" ht="15.75" x14ac:dyDescent="0.2">
      <c r="A1201" s="108">
        <v>1</v>
      </c>
      <c r="B1201" s="170">
        <v>2</v>
      </c>
      <c r="C1201" s="170">
        <v>3</v>
      </c>
      <c r="D1201" s="170">
        <v>4</v>
      </c>
      <c r="E1201" s="170">
        <v>5</v>
      </c>
      <c r="F1201" s="170">
        <v>6</v>
      </c>
      <c r="EH1201" s="3"/>
      <c r="GS1201" s="3"/>
      <c r="GT1201" s="4"/>
      <c r="GU1201" s="4"/>
      <c r="GV1201" s="4"/>
      <c r="GW1201" s="4"/>
      <c r="GX1201" s="4"/>
      <c r="GY1201" s="4"/>
      <c r="GZ1201" s="4"/>
      <c r="HA1201" s="4"/>
    </row>
    <row r="1202" spans="1:256" ht="18.75" customHeight="1" x14ac:dyDescent="0.2">
      <c r="A1202" s="429" t="s">
        <v>1322</v>
      </c>
      <c r="B1202" s="429"/>
      <c r="C1202" s="429"/>
      <c r="D1202" s="429"/>
      <c r="E1202" s="429"/>
      <c r="F1202" s="429"/>
      <c r="EH1202" s="3"/>
      <c r="GS1202" s="3"/>
      <c r="GT1202" s="4"/>
      <c r="GU1202" s="4"/>
      <c r="GV1202" s="4"/>
      <c r="GW1202" s="4"/>
      <c r="GX1202" s="4"/>
      <c r="GY1202" s="4"/>
      <c r="GZ1202" s="4"/>
      <c r="HA1202" s="4"/>
      <c r="IV1202">
        <f>(4.5+100)/100</f>
        <v>1.0449999999999999</v>
      </c>
    </row>
    <row r="1203" spans="1:256" ht="50.25" customHeight="1" x14ac:dyDescent="0.2">
      <c r="A1203" s="108" t="s">
        <v>200</v>
      </c>
      <c r="B1203" s="381" t="s">
        <v>1323</v>
      </c>
      <c r="C1203" s="379" t="s">
        <v>962</v>
      </c>
      <c r="D1203" s="389">
        <f>(150.46*1.04*1.055)*1.05</f>
        <v>173.34</v>
      </c>
      <c r="E1203" s="14">
        <f t="shared" ref="E1203:E1209" si="114">D1203*20%</f>
        <v>34.67</v>
      </c>
      <c r="F1203" s="97">
        <f>D1203+E1203</f>
        <v>208.01</v>
      </c>
      <c r="EH1203" s="3"/>
      <c r="GS1203" s="3"/>
      <c r="GT1203" s="4"/>
      <c r="GU1203" s="4"/>
      <c r="GV1203" s="4"/>
      <c r="GW1203" s="4"/>
      <c r="GX1203" s="4"/>
      <c r="GY1203" s="4"/>
      <c r="GZ1203" s="4"/>
      <c r="HA1203" s="4"/>
      <c r="HF1203" s="171"/>
      <c r="HG1203" s="134"/>
      <c r="IU1203" s="359">
        <v>66.489999999999995</v>
      </c>
      <c r="IV1203" s="123">
        <f>66.49*1.045</f>
        <v>69.48</v>
      </c>
    </row>
    <row r="1204" spans="1:256" ht="47.25" x14ac:dyDescent="0.2">
      <c r="A1204" s="108" t="s">
        <v>204</v>
      </c>
      <c r="B1204" s="381" t="s">
        <v>1324</v>
      </c>
      <c r="C1204" s="379" t="s">
        <v>962</v>
      </c>
      <c r="D1204" s="389">
        <f>(150.46*1.04*1.055)*1.05</f>
        <v>173.34</v>
      </c>
      <c r="E1204" s="14">
        <f t="shared" si="114"/>
        <v>34.67</v>
      </c>
      <c r="F1204" s="97">
        <f>D1204+E1204</f>
        <v>208.01</v>
      </c>
      <c r="EH1204" s="3"/>
      <c r="GS1204" s="3"/>
      <c r="GT1204" s="4"/>
      <c r="GU1204" s="4"/>
      <c r="GV1204" s="4"/>
      <c r="GW1204" s="4"/>
      <c r="GX1204" s="4"/>
      <c r="GY1204" s="4"/>
      <c r="GZ1204" s="4"/>
      <c r="HA1204" s="4"/>
      <c r="HF1204" s="171"/>
      <c r="HG1204" s="134"/>
      <c r="IU1204" s="359">
        <v>66.489999999999995</v>
      </c>
      <c r="IV1204" s="123">
        <f>66.49*1.045</f>
        <v>69.48</v>
      </c>
    </row>
    <row r="1205" spans="1:256" ht="15.75" x14ac:dyDescent="0.2">
      <c r="A1205" s="108" t="s">
        <v>521</v>
      </c>
      <c r="B1205" s="381" t="s">
        <v>1325</v>
      </c>
      <c r="C1205" s="379"/>
      <c r="D1205" s="389"/>
      <c r="E1205" s="14"/>
      <c r="F1205" s="97"/>
      <c r="EH1205" s="3"/>
      <c r="GS1205" s="3"/>
      <c r="GT1205" s="4"/>
      <c r="GU1205" s="4"/>
      <c r="GV1205" s="4"/>
      <c r="GW1205" s="4"/>
      <c r="GX1205" s="4"/>
      <c r="GY1205" s="4"/>
      <c r="GZ1205" s="4"/>
      <c r="HA1205" s="4"/>
      <c r="HF1205" s="171"/>
      <c r="HG1205" s="134"/>
      <c r="IU1205" s="359"/>
      <c r="IV1205" s="123"/>
    </row>
    <row r="1206" spans="1:256" ht="15.75" x14ac:dyDescent="0.2">
      <c r="A1206" s="404" t="s">
        <v>1326</v>
      </c>
      <c r="B1206" s="381" t="s">
        <v>1327</v>
      </c>
      <c r="C1206" s="379" t="s">
        <v>1328</v>
      </c>
      <c r="D1206" s="389">
        <f>(45.91*1.04*1.04*1.055)*1.05</f>
        <v>55.01</v>
      </c>
      <c r="E1206" s="14">
        <f t="shared" si="114"/>
        <v>11</v>
      </c>
      <c r="F1206" s="97">
        <f>D1206+E1206</f>
        <v>66.010000000000005</v>
      </c>
      <c r="EH1206" s="3"/>
      <c r="GS1206" s="3"/>
      <c r="GT1206" s="4"/>
      <c r="GU1206" s="4"/>
      <c r="GV1206" s="4"/>
      <c r="GW1206" s="4"/>
      <c r="GX1206" s="4"/>
      <c r="GY1206" s="4"/>
      <c r="GZ1206" s="4"/>
      <c r="HA1206" s="4"/>
      <c r="HF1206" s="171"/>
      <c r="HG1206" s="134"/>
      <c r="IU1206" s="359">
        <v>43.93</v>
      </c>
      <c r="IV1206" s="123">
        <f>43.93*1.045</f>
        <v>45.91</v>
      </c>
    </row>
    <row r="1207" spans="1:256" ht="15.75" x14ac:dyDescent="0.2">
      <c r="A1207" s="404" t="s">
        <v>1329</v>
      </c>
      <c r="B1207" s="381" t="s">
        <v>1330</v>
      </c>
      <c r="C1207" s="379" t="s">
        <v>1328</v>
      </c>
      <c r="D1207" s="389">
        <f>(24.09*1.04*1.04*1.055)*1.05</f>
        <v>28.86</v>
      </c>
      <c r="E1207" s="14">
        <f t="shared" si="114"/>
        <v>5.77</v>
      </c>
      <c r="F1207" s="97">
        <f>D1207+E1207</f>
        <v>34.630000000000003</v>
      </c>
      <c r="EH1207" s="3"/>
      <c r="GS1207" s="3"/>
      <c r="GT1207" s="4"/>
      <c r="GU1207" s="4"/>
      <c r="GV1207" s="4"/>
      <c r="GW1207" s="4"/>
      <c r="GX1207" s="4"/>
      <c r="GY1207" s="4"/>
      <c r="GZ1207" s="4"/>
      <c r="HA1207" s="4"/>
      <c r="HF1207" s="172"/>
      <c r="HG1207" s="134"/>
      <c r="IU1207" s="72">
        <v>21.95</v>
      </c>
      <c r="IV1207" s="123">
        <f>21.95*1.045</f>
        <v>22.94</v>
      </c>
    </row>
    <row r="1208" spans="1:256" ht="15.75" x14ac:dyDescent="0.2">
      <c r="A1208" s="404" t="s">
        <v>1331</v>
      </c>
      <c r="B1208" s="381" t="s">
        <v>1332</v>
      </c>
      <c r="C1208" s="379" t="s">
        <v>1328</v>
      </c>
      <c r="D1208" s="389">
        <f>(68.86*1.04*1.04*1.055)*1.05</f>
        <v>82.5</v>
      </c>
      <c r="E1208" s="14">
        <f t="shared" si="114"/>
        <v>16.5</v>
      </c>
      <c r="F1208" s="97">
        <f>D1208+E1208</f>
        <v>99</v>
      </c>
      <c r="EH1208" s="3"/>
      <c r="GS1208" s="3"/>
      <c r="GT1208" s="4"/>
      <c r="GU1208" s="4"/>
      <c r="GV1208" s="4"/>
      <c r="GW1208" s="4"/>
      <c r="GX1208" s="4"/>
      <c r="GY1208" s="4"/>
      <c r="GZ1208" s="4"/>
      <c r="HA1208" s="4"/>
      <c r="HF1208" s="173"/>
      <c r="HG1208" s="134"/>
      <c r="IU1208" s="69">
        <v>65.89</v>
      </c>
      <c r="IV1208" s="123">
        <f>65.89*1.045</f>
        <v>68.86</v>
      </c>
    </row>
    <row r="1209" spans="1:256" ht="33.75" customHeight="1" x14ac:dyDescent="0.2">
      <c r="A1209" s="108" t="s">
        <v>523</v>
      </c>
      <c r="B1209" s="381" t="s">
        <v>1993</v>
      </c>
      <c r="C1209" s="379" t="s">
        <v>962</v>
      </c>
      <c r="D1209" s="389">
        <f>(124.02*1.04*1.055)*1.05</f>
        <v>142.88</v>
      </c>
      <c r="E1209" s="14">
        <f t="shared" si="114"/>
        <v>28.58</v>
      </c>
      <c r="F1209" s="97">
        <f>D1209+E1209</f>
        <v>171.46</v>
      </c>
      <c r="EH1209" s="3"/>
      <c r="GS1209" s="3"/>
      <c r="GT1209" s="4"/>
      <c r="GU1209" s="4"/>
      <c r="GV1209" s="4"/>
      <c r="GW1209" s="4"/>
      <c r="GX1209" s="4"/>
      <c r="GY1209" s="4"/>
      <c r="GZ1209" s="4"/>
      <c r="HA1209" s="4"/>
      <c r="HF1209" s="171"/>
      <c r="HG1209" s="134"/>
      <c r="IU1209" s="359">
        <v>66.489999999999995</v>
      </c>
      <c r="IV1209" s="123">
        <f>66.49*1.045</f>
        <v>69.48</v>
      </c>
    </row>
    <row r="1210" spans="1:256" ht="42.75" customHeight="1" x14ac:dyDescent="0.2">
      <c r="A1210" s="429" t="s">
        <v>1334</v>
      </c>
      <c r="B1210" s="429"/>
      <c r="C1210" s="429"/>
      <c r="D1210" s="429"/>
      <c r="E1210" s="429"/>
      <c r="F1210" s="429"/>
      <c r="EH1210" s="3"/>
      <c r="GS1210" s="3"/>
      <c r="GT1210" s="4"/>
      <c r="GU1210" s="4"/>
      <c r="GV1210" s="4"/>
      <c r="GW1210" s="4"/>
      <c r="GX1210" s="4"/>
      <c r="GY1210" s="4"/>
      <c r="GZ1210" s="4"/>
      <c r="HA1210" s="4"/>
    </row>
    <row r="1211" spans="1:256" ht="63" customHeight="1" x14ac:dyDescent="0.2">
      <c r="A1211" s="108" t="s">
        <v>14</v>
      </c>
      <c r="B1211" s="437" t="s">
        <v>1998</v>
      </c>
      <c r="C1211" s="437"/>
      <c r="D1211" s="437"/>
      <c r="E1211" s="437"/>
      <c r="F1211" s="437"/>
      <c r="EH1211" s="3"/>
      <c r="GS1211" s="3"/>
      <c r="GT1211" s="4"/>
      <c r="GU1211" s="4"/>
      <c r="GV1211" s="4"/>
      <c r="GW1211" s="4"/>
      <c r="GX1211" s="4"/>
      <c r="GY1211" s="4"/>
      <c r="GZ1211" s="4"/>
      <c r="HA1211" s="4"/>
    </row>
    <row r="1212" spans="1:256" ht="80.25" customHeight="1" x14ac:dyDescent="0.2">
      <c r="A1212" s="404" t="s">
        <v>200</v>
      </c>
      <c r="B1212" s="430" t="s">
        <v>1336</v>
      </c>
      <c r="C1212" s="430"/>
      <c r="D1212" s="430"/>
      <c r="E1212" s="430"/>
      <c r="F1212" s="430"/>
      <c r="EH1212" s="3"/>
      <c r="GS1212" s="2"/>
      <c r="GT1212" s="4"/>
      <c r="GU1212" s="4"/>
      <c r="GV1212" s="4"/>
      <c r="GW1212" s="4"/>
      <c r="GX1212" s="4"/>
      <c r="GY1212" s="4"/>
      <c r="GZ1212" s="4"/>
      <c r="HA1212" s="4"/>
    </row>
    <row r="1213" spans="1:256" ht="15.75" x14ac:dyDescent="0.2">
      <c r="A1213" s="405" t="s">
        <v>1337</v>
      </c>
      <c r="B1213" s="111" t="s">
        <v>1338</v>
      </c>
      <c r="C1213" s="379" t="s">
        <v>202</v>
      </c>
      <c r="D1213" s="389">
        <f>(0.87*1.04*1.04*1.055)*1.05</f>
        <v>1.04</v>
      </c>
      <c r="E1213" s="14">
        <f>D1213*20%</f>
        <v>0.21</v>
      </c>
      <c r="F1213" s="97">
        <f>D1213+E1213</f>
        <v>1.25</v>
      </c>
      <c r="EH1213" s="3"/>
      <c r="GS1213" s="2"/>
      <c r="GT1213" s="4"/>
      <c r="GU1213" s="4"/>
      <c r="GV1213" s="4"/>
      <c r="GW1213" s="4"/>
      <c r="GX1213" s="4"/>
      <c r="GY1213" s="4"/>
      <c r="GZ1213" s="4"/>
      <c r="HA1213" s="4"/>
      <c r="HF1213" s="171"/>
      <c r="HG1213" s="134"/>
      <c r="IU1213" s="359">
        <v>0.44</v>
      </c>
      <c r="IV1213" s="123">
        <f>0.44*1.045</f>
        <v>0.46</v>
      </c>
    </row>
    <row r="1214" spans="1:256" ht="15.75" x14ac:dyDescent="0.2">
      <c r="A1214" s="405" t="s">
        <v>1339</v>
      </c>
      <c r="B1214" s="111" t="s">
        <v>1340</v>
      </c>
      <c r="C1214" s="379" t="s">
        <v>116</v>
      </c>
      <c r="D1214" s="389">
        <f>(329.4*1.04*1.04*1.055)*1.05</f>
        <v>394.67</v>
      </c>
      <c r="E1214" s="14">
        <f>D1214*20%</f>
        <v>78.930000000000007</v>
      </c>
      <c r="F1214" s="97">
        <f>D1214+E1214</f>
        <v>473.6</v>
      </c>
      <c r="EH1214" s="3"/>
      <c r="GS1214" s="2"/>
      <c r="GT1214" s="4"/>
      <c r="GU1214" s="4"/>
      <c r="GV1214" s="4"/>
      <c r="GW1214" s="4"/>
      <c r="GX1214" s="4"/>
      <c r="GY1214" s="4"/>
      <c r="GZ1214" s="4"/>
      <c r="HA1214" s="4"/>
      <c r="HF1214" s="171"/>
      <c r="HG1214" s="134"/>
      <c r="IU1214" s="359">
        <v>303.08999999999997</v>
      </c>
      <c r="IV1214" s="123">
        <f>303.09*1.045</f>
        <v>316.73</v>
      </c>
    </row>
    <row r="1215" spans="1:256" ht="15.75" x14ac:dyDescent="0.2">
      <c r="A1215" s="405" t="s">
        <v>1341</v>
      </c>
      <c r="B1215" s="111" t="s">
        <v>1342</v>
      </c>
      <c r="C1215" s="379" t="s">
        <v>116</v>
      </c>
      <c r="D1215" s="389">
        <f>(344.92*1.04*1.04*1.055)*1.05</f>
        <v>413.26</v>
      </c>
      <c r="E1215" s="14">
        <f>D1215*20%</f>
        <v>82.65</v>
      </c>
      <c r="F1215" s="97">
        <f>D1215+E1215</f>
        <v>495.91</v>
      </c>
      <c r="EH1215" s="3"/>
      <c r="GS1215" s="2"/>
      <c r="GT1215" s="4"/>
      <c r="GU1215" s="4"/>
      <c r="GV1215" s="4"/>
      <c r="GW1215" s="4"/>
      <c r="GX1215" s="4"/>
      <c r="GY1215" s="4"/>
      <c r="GZ1215" s="4"/>
      <c r="HA1215" s="4"/>
      <c r="HF1215" s="171"/>
      <c r="HG1215" s="134"/>
      <c r="IU1215" s="359">
        <v>317.37</v>
      </c>
      <c r="IV1215" s="123">
        <f>317.37*1.045</f>
        <v>331.65</v>
      </c>
    </row>
    <row r="1216" spans="1:256" ht="15.75" x14ac:dyDescent="0.2">
      <c r="A1216" s="405" t="s">
        <v>1343</v>
      </c>
      <c r="B1216" s="111" t="s">
        <v>1344</v>
      </c>
      <c r="C1216" s="379" t="s">
        <v>116</v>
      </c>
      <c r="D1216" s="389">
        <f>(359.94*1.04*1.04*1.055)*1.05</f>
        <v>431.26</v>
      </c>
      <c r="E1216" s="14">
        <f>D1216*20%</f>
        <v>86.25</v>
      </c>
      <c r="F1216" s="97">
        <f>D1216+E1216</f>
        <v>517.51</v>
      </c>
      <c r="EH1216" s="3"/>
      <c r="GS1216" s="2"/>
      <c r="GT1216" s="4"/>
      <c r="GU1216" s="4"/>
      <c r="GV1216" s="4"/>
      <c r="GW1216" s="4"/>
      <c r="GX1216" s="4"/>
      <c r="GY1216" s="4"/>
      <c r="GZ1216" s="4"/>
      <c r="HA1216" s="4"/>
      <c r="HF1216" s="171"/>
      <c r="HG1216" s="134"/>
      <c r="IU1216" s="359">
        <v>331.2</v>
      </c>
      <c r="IV1216" s="123">
        <f>331.2*1.045</f>
        <v>346.1</v>
      </c>
    </row>
    <row r="1217" spans="1:256" ht="31.5" customHeight="1" x14ac:dyDescent="0.2">
      <c r="A1217" s="405" t="s">
        <v>204</v>
      </c>
      <c r="B1217" s="397" t="s">
        <v>1345</v>
      </c>
      <c r="C1217" s="379" t="s">
        <v>202</v>
      </c>
      <c r="D1217" s="389">
        <f>(0.31*1.04*1.04*1.055)*1.05</f>
        <v>0.37</v>
      </c>
      <c r="E1217" s="14">
        <f>D1217*20%</f>
        <v>7.0000000000000007E-2</v>
      </c>
      <c r="F1217" s="97">
        <f>D1217+E1217</f>
        <v>0.44</v>
      </c>
      <c r="EH1217" s="3"/>
      <c r="GS1217" s="2"/>
      <c r="GT1217" s="4"/>
      <c r="GU1217" s="4"/>
      <c r="GV1217" s="4"/>
      <c r="GW1217" s="4"/>
      <c r="GX1217" s="4"/>
      <c r="GY1217" s="4"/>
      <c r="GZ1217" s="4"/>
      <c r="HA1217" s="4"/>
      <c r="HF1217" s="171"/>
      <c r="HG1217" s="134"/>
      <c r="IU1217" s="359">
        <v>0.03</v>
      </c>
      <c r="IV1217" s="123">
        <f>0.03*1.045</f>
        <v>0.03</v>
      </c>
    </row>
    <row r="1218" spans="1:256" ht="15.75" x14ac:dyDescent="0.2">
      <c r="A1218" s="405" t="s">
        <v>521</v>
      </c>
      <c r="B1218" s="430" t="s">
        <v>1346</v>
      </c>
      <c r="C1218" s="430"/>
      <c r="D1218" s="430"/>
      <c r="E1218" s="430"/>
      <c r="F1218" s="430"/>
      <c r="EH1218" s="3"/>
      <c r="GS1218" s="2"/>
      <c r="GT1218" s="4"/>
      <c r="GU1218" s="4"/>
      <c r="GV1218" s="4"/>
      <c r="GW1218" s="4"/>
      <c r="GX1218" s="4"/>
      <c r="GY1218" s="4"/>
      <c r="GZ1218" s="4"/>
      <c r="HA1218" s="4"/>
      <c r="HG1218" s="134"/>
    </row>
    <row r="1219" spans="1:256" ht="15.75" x14ac:dyDescent="0.2">
      <c r="A1219" s="405" t="s">
        <v>1326</v>
      </c>
      <c r="B1219" s="381" t="s">
        <v>1347</v>
      </c>
      <c r="C1219" s="379" t="s">
        <v>1348</v>
      </c>
      <c r="D1219" s="389">
        <f>0.72*1.04*1.04*1.055*1.05</f>
        <v>0.86</v>
      </c>
      <c r="E1219" s="14">
        <f>D1219*20%</f>
        <v>0.17</v>
      </c>
      <c r="F1219" s="97">
        <f>D1219+E1219</f>
        <v>1.03</v>
      </c>
      <c r="EH1219" s="3"/>
      <c r="GS1219" s="2"/>
      <c r="GT1219" s="4"/>
      <c r="GU1219" s="4"/>
      <c r="GV1219" s="4"/>
      <c r="GW1219" s="4"/>
      <c r="GX1219" s="4"/>
      <c r="GY1219" s="4"/>
      <c r="GZ1219" s="4"/>
      <c r="HA1219" s="4"/>
      <c r="HF1219" s="171"/>
      <c r="HG1219" s="134"/>
      <c r="IU1219" s="359">
        <v>0.66</v>
      </c>
      <c r="IV1219" s="123">
        <f>0.66*1.045</f>
        <v>0.69</v>
      </c>
    </row>
    <row r="1220" spans="1:256" ht="15.75" x14ac:dyDescent="0.2">
      <c r="A1220" s="405" t="s">
        <v>1329</v>
      </c>
      <c r="B1220" s="381" t="s">
        <v>1349</v>
      </c>
      <c r="C1220" s="379" t="s">
        <v>116</v>
      </c>
      <c r="D1220" s="389">
        <f>716.08*1.04*1.04*1.055*1.05</f>
        <v>857.97</v>
      </c>
      <c r="E1220" s="14">
        <f>D1220*20%</f>
        <v>171.59</v>
      </c>
      <c r="F1220" s="97">
        <f>D1220+E1220</f>
        <v>1029.56</v>
      </c>
      <c r="EH1220" s="3"/>
      <c r="GS1220" s="2"/>
      <c r="GT1220" s="4"/>
      <c r="GU1220" s="4"/>
      <c r="GV1220" s="4"/>
      <c r="GW1220" s="4"/>
      <c r="GX1220" s="4"/>
      <c r="GY1220" s="4"/>
      <c r="GZ1220" s="4"/>
      <c r="HA1220" s="4"/>
      <c r="HF1220" s="171"/>
      <c r="HG1220" s="134"/>
      <c r="IU1220" s="359">
        <v>658.89</v>
      </c>
      <c r="IV1220" s="123">
        <f>658.89*1.045</f>
        <v>688.54</v>
      </c>
    </row>
    <row r="1221" spans="1:256" ht="15.75" x14ac:dyDescent="0.2">
      <c r="A1221" s="405" t="s">
        <v>1331</v>
      </c>
      <c r="B1221" s="381" t="s">
        <v>1350</v>
      </c>
      <c r="C1221" s="379" t="s">
        <v>116</v>
      </c>
      <c r="D1221" s="389">
        <f>835.42*1.04*1.04*1.055*1.05</f>
        <v>1000.95</v>
      </c>
      <c r="E1221" s="14">
        <f>D1221*20%</f>
        <v>200.19</v>
      </c>
      <c r="F1221" s="97">
        <f>D1221+E1221</f>
        <v>1201.1400000000001</v>
      </c>
      <c r="EH1221" s="3"/>
      <c r="GS1221" s="2"/>
      <c r="GT1221" s="4"/>
      <c r="GU1221" s="4"/>
      <c r="GV1221" s="4"/>
      <c r="GW1221" s="4"/>
      <c r="GX1221" s="4"/>
      <c r="GY1221" s="4"/>
      <c r="GZ1221" s="4"/>
      <c r="HA1221" s="4"/>
      <c r="HF1221" s="171"/>
      <c r="HG1221" s="134"/>
      <c r="IU1221" s="359">
        <v>768.7</v>
      </c>
      <c r="IV1221" s="123">
        <f>768.7*1.045</f>
        <v>803.29</v>
      </c>
    </row>
    <row r="1222" spans="1:256" ht="15.75" x14ac:dyDescent="0.2">
      <c r="A1222" s="405" t="s">
        <v>1351</v>
      </c>
      <c r="B1222" s="381" t="s">
        <v>1352</v>
      </c>
      <c r="C1222" s="379" t="s">
        <v>116</v>
      </c>
      <c r="D1222" s="389">
        <f>974.11*1.04*1.04*1.055*1.05</f>
        <v>1167.1199999999999</v>
      </c>
      <c r="E1222" s="14">
        <f>D1222*20%</f>
        <v>233.42</v>
      </c>
      <c r="F1222" s="97">
        <f>D1222+E1222</f>
        <v>1400.54</v>
      </c>
      <c r="EH1222" s="3"/>
      <c r="GS1222" s="2"/>
      <c r="GT1222" s="4"/>
      <c r="GU1222" s="4"/>
      <c r="GV1222" s="4"/>
      <c r="GW1222" s="4"/>
      <c r="GX1222" s="4"/>
      <c r="GY1222" s="4"/>
      <c r="GZ1222" s="4"/>
      <c r="HA1222" s="4"/>
      <c r="HF1222" s="171"/>
      <c r="HG1222" s="134"/>
      <c r="IU1222" s="359">
        <v>896.31</v>
      </c>
      <c r="IV1222" s="123">
        <f>896.31*1.045</f>
        <v>936.64</v>
      </c>
    </row>
    <row r="1223" spans="1:256" ht="18" customHeight="1" x14ac:dyDescent="0.2">
      <c r="A1223" s="405" t="s">
        <v>523</v>
      </c>
      <c r="B1223" s="430" t="s">
        <v>1353</v>
      </c>
      <c r="C1223" s="430"/>
      <c r="D1223" s="430"/>
      <c r="E1223" s="430"/>
      <c r="F1223" s="430"/>
      <c r="EH1223" s="3"/>
      <c r="GS1223" s="2"/>
      <c r="GT1223" s="4"/>
      <c r="GU1223" s="4"/>
      <c r="GV1223" s="4"/>
      <c r="GW1223" s="4"/>
      <c r="GX1223" s="4"/>
      <c r="GY1223" s="4"/>
      <c r="GZ1223" s="4"/>
      <c r="HA1223" s="4"/>
    </row>
    <row r="1224" spans="1:256" ht="43.5" customHeight="1" x14ac:dyDescent="0.2">
      <c r="A1224" s="405" t="s">
        <v>1354</v>
      </c>
      <c r="B1224" s="430" t="s">
        <v>1355</v>
      </c>
      <c r="C1224" s="430"/>
      <c r="D1224" s="430"/>
      <c r="E1224" s="430"/>
      <c r="F1224" s="430"/>
      <c r="EH1224" s="3"/>
      <c r="GS1224" s="2"/>
      <c r="GT1224" s="4"/>
      <c r="GU1224" s="4"/>
      <c r="GV1224" s="4"/>
      <c r="GW1224" s="4"/>
      <c r="GX1224" s="4"/>
      <c r="GY1224" s="4"/>
      <c r="GZ1224" s="4"/>
      <c r="HA1224" s="4"/>
    </row>
    <row r="1225" spans="1:256" ht="15.75" x14ac:dyDescent="0.2">
      <c r="A1225" s="405" t="s">
        <v>1356</v>
      </c>
      <c r="B1225" s="381" t="s">
        <v>1357</v>
      </c>
      <c r="C1225" s="379" t="s">
        <v>116</v>
      </c>
      <c r="D1225" s="389">
        <f>318.18*1.04*1.04*1.055*1.05</f>
        <v>381.22</v>
      </c>
      <c r="E1225" s="14">
        <f>D1225*20%</f>
        <v>76.239999999999995</v>
      </c>
      <c r="F1225" s="97">
        <f>D1225+E1225</f>
        <v>457.46</v>
      </c>
      <c r="EH1225" s="3"/>
      <c r="GS1225" s="2"/>
      <c r="GT1225" s="4"/>
      <c r="GU1225" s="4"/>
      <c r="GV1225" s="4"/>
      <c r="GW1225" s="4"/>
      <c r="GX1225" s="4"/>
      <c r="GY1225" s="4"/>
      <c r="GZ1225" s="4"/>
      <c r="HA1225" s="4"/>
      <c r="HF1225" s="171"/>
      <c r="HG1225" s="134"/>
      <c r="IU1225" s="359">
        <v>292.77</v>
      </c>
      <c r="IV1225" s="123">
        <f>292.77*1.045</f>
        <v>305.94</v>
      </c>
    </row>
    <row r="1226" spans="1:256" ht="15.75" x14ac:dyDescent="0.2">
      <c r="A1226" s="405" t="s">
        <v>1358</v>
      </c>
      <c r="B1226" s="381" t="s">
        <v>1359</v>
      </c>
      <c r="C1226" s="379" t="s">
        <v>116</v>
      </c>
      <c r="D1226" s="389">
        <f>424.38*1.04*1.04*1.055*1.05</f>
        <v>508.47</v>
      </c>
      <c r="E1226" s="14">
        <f>D1226*20%</f>
        <v>101.69</v>
      </c>
      <c r="F1226" s="97">
        <f>D1226+E1226</f>
        <v>610.16</v>
      </c>
      <c r="EH1226" s="3"/>
      <c r="GS1226" s="2"/>
      <c r="GT1226" s="4"/>
      <c r="GU1226" s="4"/>
      <c r="GV1226" s="4"/>
      <c r="GW1226" s="4"/>
      <c r="GX1226" s="4"/>
      <c r="GY1226" s="4"/>
      <c r="GZ1226" s="4"/>
      <c r="HA1226" s="4"/>
      <c r="HF1226" s="171"/>
      <c r="HG1226" s="134"/>
      <c r="IU1226" s="359">
        <v>390.49</v>
      </c>
      <c r="IV1226" s="123">
        <f>390.49*1.045</f>
        <v>408.06</v>
      </c>
    </row>
    <row r="1227" spans="1:256" ht="15.75" x14ac:dyDescent="0.2">
      <c r="A1227" s="405" t="s">
        <v>1360</v>
      </c>
      <c r="B1227" s="381" t="s">
        <v>1361</v>
      </c>
      <c r="C1227" s="379" t="s">
        <v>116</v>
      </c>
      <c r="D1227" s="389">
        <f>530.61*1.04*1.04*1.055*1.05</f>
        <v>635.75</v>
      </c>
      <c r="E1227" s="14">
        <f>D1227*20%</f>
        <v>127.15</v>
      </c>
      <c r="F1227" s="97">
        <f>D1227+E1227</f>
        <v>762.9</v>
      </c>
      <c r="EH1227" s="3"/>
      <c r="GS1227" s="2"/>
      <c r="GT1227" s="4"/>
      <c r="GU1227" s="4"/>
      <c r="GV1227" s="4"/>
      <c r="GW1227" s="4"/>
      <c r="GX1227" s="4"/>
      <c r="GY1227" s="4"/>
      <c r="GZ1227" s="4"/>
      <c r="HA1227" s="4"/>
      <c r="HF1227" s="171"/>
      <c r="HG1227" s="134"/>
      <c r="IU1227" s="359">
        <v>488.23</v>
      </c>
      <c r="IV1227" s="123">
        <f>488.23*1.045</f>
        <v>510.2</v>
      </c>
    </row>
    <row r="1228" spans="1:256" ht="30" customHeight="1" x14ac:dyDescent="0.2">
      <c r="A1228" s="405" t="s">
        <v>1362</v>
      </c>
      <c r="B1228" s="436" t="s">
        <v>1363</v>
      </c>
      <c r="C1228" s="436"/>
      <c r="D1228" s="436"/>
      <c r="E1228" s="436"/>
      <c r="F1228" s="436"/>
      <c r="EH1228" s="3"/>
      <c r="GS1228" s="2"/>
      <c r="GT1228" s="4"/>
      <c r="GU1228" s="4"/>
      <c r="GV1228" s="4"/>
      <c r="GW1228" s="4"/>
      <c r="GX1228" s="4"/>
      <c r="GY1228" s="4"/>
      <c r="GZ1228" s="4"/>
      <c r="HA1228" s="4"/>
      <c r="HG1228" s="134"/>
    </row>
    <row r="1229" spans="1:256" ht="15.75" x14ac:dyDescent="0.2">
      <c r="A1229" s="405" t="s">
        <v>1364</v>
      </c>
      <c r="B1229" s="381" t="s">
        <v>1357</v>
      </c>
      <c r="C1229" s="379" t="s">
        <v>1365</v>
      </c>
      <c r="D1229" s="389">
        <f>0.72*1.04*1.04*1.055*1.05</f>
        <v>0.86</v>
      </c>
      <c r="E1229" s="14">
        <f>D1229*20%</f>
        <v>0.17</v>
      </c>
      <c r="F1229" s="97">
        <f>D1229+E1229</f>
        <v>1.03</v>
      </c>
      <c r="EH1229" s="3"/>
      <c r="GS1229" s="2"/>
      <c r="GT1229" s="4"/>
      <c r="GU1229" s="4"/>
      <c r="GV1229" s="4"/>
      <c r="GW1229" s="4"/>
      <c r="GX1229" s="4"/>
      <c r="GY1229" s="4"/>
      <c r="GZ1229" s="4"/>
      <c r="HA1229" s="4"/>
      <c r="HF1229" s="171"/>
      <c r="HG1229" s="134"/>
      <c r="IU1229" s="359">
        <v>0.66</v>
      </c>
      <c r="IV1229" s="123">
        <f>0.66*1.045</f>
        <v>0.69</v>
      </c>
    </row>
    <row r="1230" spans="1:256" ht="15.75" x14ac:dyDescent="0.2">
      <c r="A1230" s="405" t="s">
        <v>1366</v>
      </c>
      <c r="B1230" s="381" t="s">
        <v>1359</v>
      </c>
      <c r="C1230" s="379" t="s">
        <v>1365</v>
      </c>
      <c r="D1230" s="389">
        <f>1.55*1.04*1.04*1.055*1.05</f>
        <v>1.86</v>
      </c>
      <c r="E1230" s="14">
        <f>D1230*20%</f>
        <v>0.37</v>
      </c>
      <c r="F1230" s="97">
        <f>D1230+E1230</f>
        <v>2.23</v>
      </c>
      <c r="EH1230" s="3"/>
      <c r="GS1230" s="2"/>
      <c r="GT1230" s="4"/>
      <c r="GU1230" s="4"/>
      <c r="GV1230" s="4"/>
      <c r="GW1230" s="4"/>
      <c r="GX1230" s="4"/>
      <c r="GY1230" s="4"/>
      <c r="GZ1230" s="4"/>
      <c r="HA1230" s="4"/>
      <c r="HF1230" s="171"/>
      <c r="HG1230" s="134"/>
      <c r="IU1230" s="359">
        <v>1.43</v>
      </c>
      <c r="IV1230" s="123">
        <f>1.43*1.045</f>
        <v>1.49</v>
      </c>
    </row>
    <row r="1231" spans="1:256" ht="15.75" x14ac:dyDescent="0.2">
      <c r="A1231" s="405" t="s">
        <v>1367</v>
      </c>
      <c r="B1231" s="381" t="s">
        <v>1361</v>
      </c>
      <c r="C1231" s="379" t="s">
        <v>1365</v>
      </c>
      <c r="D1231" s="389">
        <f>2.38*1.04*1.04*1.055*1.05</f>
        <v>2.85</v>
      </c>
      <c r="E1231" s="14">
        <f>D1231*20%</f>
        <v>0.56999999999999995</v>
      </c>
      <c r="F1231" s="97">
        <f>D1231+E1231</f>
        <v>3.42</v>
      </c>
      <c r="EH1231" s="3"/>
      <c r="GS1231" s="2"/>
      <c r="GT1231" s="4"/>
      <c r="GU1231" s="4"/>
      <c r="GV1231" s="4"/>
      <c r="GW1231" s="4"/>
      <c r="GX1231" s="4"/>
      <c r="GY1231" s="4"/>
      <c r="GZ1231" s="4"/>
      <c r="HA1231" s="4"/>
      <c r="HF1231" s="171"/>
      <c r="HG1231" s="134"/>
      <c r="IU1231" s="359">
        <v>2.19</v>
      </c>
      <c r="IV1231" s="123">
        <f>2.19*1.045</f>
        <v>2.29</v>
      </c>
    </row>
    <row r="1232" spans="1:256" ht="17.25" customHeight="1" x14ac:dyDescent="0.2">
      <c r="A1232" s="405" t="s">
        <v>1368</v>
      </c>
      <c r="B1232" s="430" t="s">
        <v>1369</v>
      </c>
      <c r="C1232" s="430"/>
      <c r="D1232" s="430"/>
      <c r="E1232" s="430"/>
      <c r="F1232" s="430"/>
      <c r="EH1232" s="3"/>
      <c r="GS1232" s="2"/>
      <c r="GT1232" s="4"/>
      <c r="GU1232" s="4"/>
      <c r="GV1232" s="4"/>
      <c r="GW1232" s="4"/>
      <c r="GX1232" s="4"/>
      <c r="GY1232" s="4"/>
      <c r="GZ1232" s="4"/>
      <c r="HA1232" s="4"/>
      <c r="HG1232" s="134"/>
    </row>
    <row r="1233" spans="1:256" ht="15.75" x14ac:dyDescent="0.2">
      <c r="A1233" s="405" t="s">
        <v>1370</v>
      </c>
      <c r="B1233" s="381" t="s">
        <v>1357</v>
      </c>
      <c r="C1233" s="379" t="s">
        <v>116</v>
      </c>
      <c r="D1233" s="389">
        <f>23.86*1.04*1.04*1.055*1.05</f>
        <v>28.59</v>
      </c>
      <c r="E1233" s="14">
        <f>D1233*20%</f>
        <v>5.72</v>
      </c>
      <c r="F1233" s="97">
        <f>D1233+E1233</f>
        <v>34.31</v>
      </c>
      <c r="EH1233" s="3"/>
      <c r="GS1233" s="2"/>
      <c r="GT1233" s="4"/>
      <c r="GU1233" s="4"/>
      <c r="GV1233" s="4"/>
      <c r="GW1233" s="4"/>
      <c r="GX1233" s="4"/>
      <c r="GY1233" s="4"/>
      <c r="GZ1233" s="4"/>
      <c r="HA1233" s="4"/>
      <c r="HF1233" s="171"/>
      <c r="HG1233" s="134"/>
      <c r="IU1233" s="359">
        <v>21.95</v>
      </c>
      <c r="IV1233" s="123">
        <f>21.95*1.045</f>
        <v>22.94</v>
      </c>
    </row>
    <row r="1234" spans="1:256" ht="15.75" x14ac:dyDescent="0.2">
      <c r="A1234" s="405" t="s">
        <v>1371</v>
      </c>
      <c r="B1234" s="381" t="s">
        <v>1359</v>
      </c>
      <c r="C1234" s="379" t="s">
        <v>116</v>
      </c>
      <c r="D1234" s="389">
        <f>42.96*1.04*1.04*1.055*1.05</f>
        <v>51.47</v>
      </c>
      <c r="E1234" s="14">
        <f>D1234*20%</f>
        <v>10.29</v>
      </c>
      <c r="F1234" s="97">
        <f>D1234+E1234</f>
        <v>61.76</v>
      </c>
      <c r="EH1234" s="3"/>
      <c r="GS1234" s="2"/>
      <c r="GT1234" s="4"/>
      <c r="GU1234" s="4"/>
      <c r="GV1234" s="4"/>
      <c r="GW1234" s="4"/>
      <c r="GX1234" s="4"/>
      <c r="GY1234" s="4"/>
      <c r="GZ1234" s="4"/>
      <c r="HA1234" s="4"/>
      <c r="HF1234" s="171"/>
      <c r="HG1234" s="134"/>
      <c r="IU1234" s="359">
        <v>39.53</v>
      </c>
      <c r="IV1234" s="123">
        <f>39.53*1.045</f>
        <v>41.31</v>
      </c>
    </row>
    <row r="1235" spans="1:256" ht="23.25" customHeight="1" x14ac:dyDescent="0.2">
      <c r="A1235" s="405" t="s">
        <v>1372</v>
      </c>
      <c r="B1235" s="381" t="s">
        <v>1361</v>
      </c>
      <c r="C1235" s="379" t="s">
        <v>116</v>
      </c>
      <c r="D1235" s="389">
        <f>62.06*1.04*1.04*1.055*1.05</f>
        <v>74.36</v>
      </c>
      <c r="E1235" s="14">
        <f>D1235*20%</f>
        <v>14.87</v>
      </c>
      <c r="F1235" s="97">
        <f>D1235+E1235</f>
        <v>89.23</v>
      </c>
      <c r="EH1235" s="3"/>
      <c r="GS1235" s="2"/>
      <c r="GT1235" s="4"/>
      <c r="GU1235" s="4"/>
      <c r="GV1235" s="4"/>
      <c r="GW1235" s="4"/>
      <c r="GX1235" s="4"/>
      <c r="GY1235" s="4"/>
      <c r="GZ1235" s="4"/>
      <c r="HA1235" s="4"/>
      <c r="HF1235" s="171"/>
      <c r="HG1235" s="134"/>
      <c r="IU1235" s="359">
        <v>57.1</v>
      </c>
      <c r="IV1235" s="123">
        <f>57.1*1.045</f>
        <v>59.67</v>
      </c>
    </row>
    <row r="1236" spans="1:256" ht="15.75" customHeight="1" x14ac:dyDescent="0.2">
      <c r="A1236" s="405" t="s">
        <v>1373</v>
      </c>
      <c r="B1236" s="430" t="s">
        <v>1374</v>
      </c>
      <c r="C1236" s="430"/>
      <c r="D1236" s="430"/>
      <c r="E1236" s="430"/>
      <c r="F1236" s="430"/>
      <c r="EH1236" s="3"/>
      <c r="GS1236" s="2"/>
      <c r="GT1236" s="4"/>
      <c r="GU1236" s="4"/>
      <c r="GV1236" s="4"/>
      <c r="GW1236" s="4"/>
      <c r="GX1236" s="4"/>
      <c r="GY1236" s="4"/>
      <c r="GZ1236" s="4"/>
      <c r="HA1236" s="4"/>
      <c r="HG1236" s="134"/>
    </row>
    <row r="1237" spans="1:256" ht="15.75" x14ac:dyDescent="0.2">
      <c r="A1237" s="405" t="s">
        <v>1375</v>
      </c>
      <c r="B1237" s="381" t="s">
        <v>1357</v>
      </c>
      <c r="C1237" s="379" t="s">
        <v>116</v>
      </c>
      <c r="D1237" s="389">
        <f>45.35*1.04*1.04*1.055*1.05</f>
        <v>54.34</v>
      </c>
      <c r="E1237" s="14">
        <f>D1237*20%</f>
        <v>10.87</v>
      </c>
      <c r="F1237" s="97">
        <f>D1237+E1237</f>
        <v>65.209999999999994</v>
      </c>
      <c r="EH1237" s="3"/>
      <c r="GS1237" s="2"/>
      <c r="GT1237" s="4"/>
      <c r="GU1237" s="4"/>
      <c r="GV1237" s="4"/>
      <c r="GW1237" s="4"/>
      <c r="GX1237" s="4"/>
      <c r="GY1237" s="4"/>
      <c r="GZ1237" s="4"/>
      <c r="HA1237" s="4"/>
      <c r="HF1237" s="171"/>
      <c r="HG1237" s="134"/>
      <c r="IU1237" s="359">
        <v>41.73</v>
      </c>
      <c r="IV1237" s="123">
        <f>41.73*1.045</f>
        <v>43.61</v>
      </c>
    </row>
    <row r="1238" spans="1:256" ht="15.75" x14ac:dyDescent="0.2">
      <c r="A1238" s="405" t="s">
        <v>1376</v>
      </c>
      <c r="B1238" s="381" t="s">
        <v>1359</v>
      </c>
      <c r="C1238" s="379" t="s">
        <v>116</v>
      </c>
      <c r="D1238" s="389">
        <f>84.74*1.04*1.04*1.055*1.05</f>
        <v>101.53</v>
      </c>
      <c r="E1238" s="14">
        <f>D1238*20%</f>
        <v>20.309999999999999</v>
      </c>
      <c r="F1238" s="97">
        <f>D1238+E1238</f>
        <v>121.84</v>
      </c>
      <c r="EH1238" s="3"/>
      <c r="GS1238" s="2"/>
      <c r="GT1238" s="4"/>
      <c r="GU1238" s="4"/>
      <c r="GV1238" s="4"/>
      <c r="GW1238" s="4"/>
      <c r="GX1238" s="4"/>
      <c r="GY1238" s="4"/>
      <c r="GZ1238" s="4"/>
      <c r="HA1238" s="4"/>
      <c r="HF1238" s="171"/>
      <c r="HG1238" s="134"/>
      <c r="IU1238" s="359">
        <v>77.97</v>
      </c>
      <c r="IV1238" s="123">
        <f>77.97*1.045</f>
        <v>81.48</v>
      </c>
    </row>
    <row r="1239" spans="1:256" ht="15.75" x14ac:dyDescent="0.2">
      <c r="A1239" s="405" t="s">
        <v>1377</v>
      </c>
      <c r="B1239" s="381" t="s">
        <v>1361</v>
      </c>
      <c r="C1239" s="379" t="s">
        <v>116</v>
      </c>
      <c r="D1239" s="389">
        <f>125.31*1.04*1.04*1.055*1.05</f>
        <v>150.13999999999999</v>
      </c>
      <c r="E1239" s="14">
        <f>D1239*20%</f>
        <v>30.03</v>
      </c>
      <c r="F1239" s="97">
        <f>D1239+E1239</f>
        <v>180.17</v>
      </c>
      <c r="EH1239" s="3"/>
      <c r="GS1239" s="2"/>
      <c r="GT1239" s="4"/>
      <c r="GU1239" s="4"/>
      <c r="GV1239" s="4"/>
      <c r="GW1239" s="4"/>
      <c r="GX1239" s="4"/>
      <c r="GY1239" s="4"/>
      <c r="GZ1239" s="4"/>
      <c r="HA1239" s="4"/>
      <c r="HF1239" s="171"/>
      <c r="HG1239" s="134"/>
      <c r="IU1239" s="359">
        <v>115.3</v>
      </c>
      <c r="IV1239" s="123">
        <f>115.3*1.045</f>
        <v>120.49</v>
      </c>
    </row>
    <row r="1240" spans="1:256" ht="17.25" customHeight="1" x14ac:dyDescent="0.2">
      <c r="A1240" s="405" t="s">
        <v>1378</v>
      </c>
      <c r="B1240" s="430" t="s">
        <v>1379</v>
      </c>
      <c r="C1240" s="430"/>
      <c r="D1240" s="430"/>
      <c r="E1240" s="430"/>
      <c r="F1240" s="430"/>
      <c r="EH1240" s="3"/>
      <c r="GS1240" s="2"/>
      <c r="GT1240" s="4"/>
      <c r="GU1240" s="4"/>
      <c r="GV1240" s="4"/>
      <c r="GW1240" s="4"/>
      <c r="GX1240" s="4"/>
      <c r="GY1240" s="4"/>
      <c r="GZ1240" s="4"/>
      <c r="HA1240" s="4"/>
      <c r="HG1240" s="134"/>
    </row>
    <row r="1241" spans="1:256" ht="15.75" x14ac:dyDescent="0.2">
      <c r="A1241" s="405" t="s">
        <v>1380</v>
      </c>
      <c r="B1241" s="381" t="s">
        <v>1357</v>
      </c>
      <c r="C1241" s="379" t="s">
        <v>116</v>
      </c>
      <c r="D1241" s="389">
        <f>87.12*1.04*1.04*1.055*1.05</f>
        <v>104.38</v>
      </c>
      <c r="E1241" s="14">
        <f t="shared" ref="E1241:E1249" si="115">D1241*20%</f>
        <v>20.88</v>
      </c>
      <c r="F1241" s="97">
        <f t="shared" ref="F1241:F1246" si="116">D1241+E1241</f>
        <v>125.26</v>
      </c>
      <c r="EH1241" s="3"/>
      <c r="GS1241" s="2"/>
      <c r="GT1241" s="4"/>
      <c r="GU1241" s="4"/>
      <c r="GV1241" s="4"/>
      <c r="GW1241" s="4"/>
      <c r="GX1241" s="4"/>
      <c r="GY1241" s="4"/>
      <c r="GZ1241" s="4"/>
      <c r="HA1241" s="4"/>
      <c r="HF1241" s="171"/>
      <c r="HG1241" s="134"/>
      <c r="IU1241" s="359">
        <v>80.16</v>
      </c>
      <c r="IV1241" s="123">
        <f>80.16*1.045</f>
        <v>83.77</v>
      </c>
    </row>
    <row r="1242" spans="1:256" ht="15.75" x14ac:dyDescent="0.2">
      <c r="A1242" s="405" t="s">
        <v>1381</v>
      </c>
      <c r="B1242" s="381" t="s">
        <v>1359</v>
      </c>
      <c r="C1242" s="379" t="s">
        <v>116</v>
      </c>
      <c r="D1242" s="389">
        <f>165.89*1.04*1.04*1.055*1.05</f>
        <v>198.76</v>
      </c>
      <c r="E1242" s="14">
        <f t="shared" si="115"/>
        <v>39.75</v>
      </c>
      <c r="F1242" s="97">
        <f>D1242+E1242</f>
        <v>238.51</v>
      </c>
      <c r="EH1242" s="3"/>
      <c r="GS1242" s="2"/>
      <c r="GT1242" s="4"/>
      <c r="GU1242" s="4"/>
      <c r="GV1242" s="4"/>
      <c r="GW1242" s="4"/>
      <c r="GX1242" s="4"/>
      <c r="GY1242" s="4"/>
      <c r="GZ1242" s="4"/>
      <c r="HA1242" s="4"/>
      <c r="HF1242" s="171"/>
      <c r="HG1242" s="134"/>
      <c r="IU1242" s="359">
        <v>152.63999999999999</v>
      </c>
      <c r="IV1242" s="123">
        <f>152.64*1.045</f>
        <v>159.51</v>
      </c>
    </row>
    <row r="1243" spans="1:256" ht="15.75" x14ac:dyDescent="0.2">
      <c r="A1243" s="405" t="s">
        <v>1382</v>
      </c>
      <c r="B1243" s="381" t="s">
        <v>1361</v>
      </c>
      <c r="C1243" s="379" t="s">
        <v>116</v>
      </c>
      <c r="D1243" s="389">
        <f>244.66*1.04*1.04*1.055*1.05</f>
        <v>293.14</v>
      </c>
      <c r="E1243" s="14">
        <f t="shared" si="115"/>
        <v>58.63</v>
      </c>
      <c r="F1243" s="97">
        <f t="shared" si="116"/>
        <v>351.77</v>
      </c>
      <c r="EH1243" s="3"/>
      <c r="GS1243" s="2"/>
      <c r="GT1243" s="4"/>
      <c r="GU1243" s="4"/>
      <c r="GV1243" s="4"/>
      <c r="GW1243" s="4"/>
      <c r="GX1243" s="4"/>
      <c r="GY1243" s="4"/>
      <c r="GZ1243" s="4"/>
      <c r="HA1243" s="4"/>
      <c r="HF1243" s="171"/>
      <c r="HG1243" s="134"/>
      <c r="IU1243" s="359">
        <v>225.12</v>
      </c>
      <c r="IV1243" s="123">
        <f>225.12*1.045</f>
        <v>235.25</v>
      </c>
    </row>
    <row r="1244" spans="1:256" ht="42" customHeight="1" x14ac:dyDescent="0.2">
      <c r="A1244" s="405" t="s">
        <v>1383</v>
      </c>
      <c r="B1244" s="174" t="s">
        <v>1384</v>
      </c>
      <c r="C1244" s="379" t="s">
        <v>1385</v>
      </c>
      <c r="D1244" s="389">
        <f>31.04*1.04*1.04*1.055*1.05</f>
        <v>37.19</v>
      </c>
      <c r="E1244" s="14">
        <f t="shared" si="115"/>
        <v>7.44</v>
      </c>
      <c r="F1244" s="97">
        <f t="shared" si="116"/>
        <v>44.63</v>
      </c>
      <c r="EH1244" s="3"/>
      <c r="GS1244" s="2"/>
      <c r="GT1244" s="4"/>
      <c r="GU1244" s="4"/>
      <c r="GV1244" s="4"/>
      <c r="GW1244" s="4"/>
      <c r="GX1244" s="4"/>
      <c r="GY1244" s="4"/>
      <c r="GZ1244" s="4"/>
      <c r="HA1244" s="4"/>
      <c r="HF1244" s="171"/>
      <c r="HG1244" s="134"/>
      <c r="IU1244" s="359">
        <v>28.56</v>
      </c>
      <c r="IV1244" s="123">
        <f>28.56*1.045</f>
        <v>29.85</v>
      </c>
    </row>
    <row r="1245" spans="1:256" ht="42.75" customHeight="1" x14ac:dyDescent="0.2">
      <c r="A1245" s="405" t="s">
        <v>1386</v>
      </c>
      <c r="B1245" s="174" t="s">
        <v>1387</v>
      </c>
      <c r="C1245" s="379" t="s">
        <v>1385</v>
      </c>
      <c r="D1245" s="389">
        <f>47.99*1.04*1.04*1.055*1.05</f>
        <v>57.5</v>
      </c>
      <c r="E1245" s="14">
        <f t="shared" si="115"/>
        <v>11.5</v>
      </c>
      <c r="F1245" s="97">
        <f t="shared" si="116"/>
        <v>69</v>
      </c>
      <c r="EH1245" s="3"/>
      <c r="GS1245" s="2"/>
      <c r="GT1245" s="4"/>
      <c r="GU1245" s="4"/>
      <c r="GV1245" s="4"/>
      <c r="GW1245" s="4"/>
      <c r="GX1245" s="4"/>
      <c r="GY1245" s="4"/>
      <c r="GZ1245" s="4"/>
      <c r="HA1245" s="4"/>
      <c r="HF1245" s="171"/>
      <c r="HG1245" s="134"/>
      <c r="IU1245" s="359">
        <v>44.15</v>
      </c>
      <c r="IV1245" s="123">
        <f>44.15*1.045</f>
        <v>46.14</v>
      </c>
    </row>
    <row r="1246" spans="1:256" ht="33.75" customHeight="1" x14ac:dyDescent="0.2">
      <c r="A1246" s="405" t="s">
        <v>1388</v>
      </c>
      <c r="B1246" s="174" t="s">
        <v>1389</v>
      </c>
      <c r="C1246" s="379" t="s">
        <v>1385</v>
      </c>
      <c r="D1246" s="389">
        <f>149.19*1.04*1.04*1.055*1.05</f>
        <v>178.75</v>
      </c>
      <c r="E1246" s="14">
        <f t="shared" si="115"/>
        <v>35.75</v>
      </c>
      <c r="F1246" s="97">
        <f t="shared" si="116"/>
        <v>214.5</v>
      </c>
      <c r="EH1246" s="3"/>
      <c r="GS1246" s="2"/>
      <c r="GT1246" s="4"/>
      <c r="GU1246" s="4"/>
      <c r="GV1246" s="4"/>
      <c r="GW1246" s="4"/>
      <c r="GX1246" s="4"/>
      <c r="GY1246" s="4"/>
      <c r="GZ1246" s="4"/>
      <c r="HA1246" s="4"/>
      <c r="HF1246" s="171"/>
      <c r="HG1246" s="134"/>
      <c r="IU1246" s="359">
        <v>137.27000000000001</v>
      </c>
      <c r="IV1246" s="123">
        <f>137.27*1.045</f>
        <v>143.44999999999999</v>
      </c>
    </row>
    <row r="1247" spans="1:256" ht="47.25" customHeight="1" x14ac:dyDescent="0.2">
      <c r="A1247" s="405" t="s">
        <v>1390</v>
      </c>
      <c r="B1247" s="174" t="s">
        <v>1391</v>
      </c>
      <c r="C1247" s="379" t="s">
        <v>1385</v>
      </c>
      <c r="D1247" s="389">
        <f>43.68*1.04*1.04*1.055*1.05</f>
        <v>52.33</v>
      </c>
      <c r="E1247" s="14">
        <f t="shared" si="115"/>
        <v>10.47</v>
      </c>
      <c r="F1247" s="97">
        <f>D1247+E1247</f>
        <v>62.8</v>
      </c>
      <c r="EH1247" s="3"/>
      <c r="GS1247" s="2"/>
      <c r="GT1247" s="4"/>
      <c r="GU1247" s="4"/>
      <c r="GV1247" s="4"/>
      <c r="GW1247" s="4"/>
      <c r="GX1247" s="4"/>
      <c r="GY1247" s="4"/>
      <c r="GZ1247" s="4"/>
      <c r="HA1247" s="4"/>
      <c r="HF1247" s="171"/>
      <c r="HG1247" s="134"/>
      <c r="IU1247" s="359">
        <v>40.19</v>
      </c>
      <c r="IV1247" s="123">
        <f>40.19*1.045</f>
        <v>42</v>
      </c>
    </row>
    <row r="1248" spans="1:256" ht="50.25" customHeight="1" x14ac:dyDescent="0.2">
      <c r="A1248" s="405" t="s">
        <v>1392</v>
      </c>
      <c r="B1248" s="174" t="s">
        <v>1393</v>
      </c>
      <c r="C1248" s="379" t="s">
        <v>1385</v>
      </c>
      <c r="D1248" s="389">
        <f>43.68*1.04*1.04*1.055*1.05</f>
        <v>52.33</v>
      </c>
      <c r="E1248" s="14">
        <f t="shared" si="115"/>
        <v>10.47</v>
      </c>
      <c r="F1248" s="97">
        <f>D1248+E1248</f>
        <v>62.8</v>
      </c>
      <c r="EH1248" s="3"/>
      <c r="GS1248" s="2"/>
      <c r="GT1248" s="4"/>
      <c r="GU1248" s="4"/>
      <c r="GV1248" s="4"/>
      <c r="GW1248" s="4"/>
      <c r="GX1248" s="4"/>
      <c r="GY1248" s="4"/>
      <c r="GZ1248" s="4"/>
      <c r="HA1248" s="4"/>
      <c r="HF1248" s="171"/>
      <c r="HG1248" s="134"/>
      <c r="IU1248" s="359">
        <v>40.19</v>
      </c>
      <c r="IV1248" s="123">
        <f>40.19*1.045</f>
        <v>42</v>
      </c>
    </row>
    <row r="1249" spans="1:256" ht="15.75" x14ac:dyDescent="0.2">
      <c r="A1249" s="405" t="s">
        <v>1394</v>
      </c>
      <c r="B1249" s="175" t="s">
        <v>1395</v>
      </c>
      <c r="C1249" s="379" t="s">
        <v>1385</v>
      </c>
      <c r="D1249" s="389">
        <f>44.65*1.04*1.04*1.055*1.05</f>
        <v>53.5</v>
      </c>
      <c r="E1249" s="14">
        <f t="shared" si="115"/>
        <v>10.7</v>
      </c>
      <c r="F1249" s="97">
        <f>D1249+E1249</f>
        <v>64.2</v>
      </c>
      <c r="G1249" s="176"/>
      <c r="EH1249" s="3"/>
      <c r="GS1249" s="2"/>
      <c r="GT1249" s="4"/>
      <c r="GU1249" s="4"/>
      <c r="GV1249" s="4"/>
      <c r="GW1249" s="4"/>
      <c r="GX1249" s="4"/>
      <c r="GY1249" s="4"/>
      <c r="GZ1249" s="4"/>
      <c r="HA1249" s="4"/>
      <c r="HF1249" s="171"/>
      <c r="HG1249" s="134"/>
      <c r="IU1249" s="359">
        <v>41.08</v>
      </c>
      <c r="IV1249" s="123">
        <f>41.08*1.045</f>
        <v>42.93</v>
      </c>
    </row>
    <row r="1250" spans="1:256" ht="15.75" customHeight="1" x14ac:dyDescent="0.2">
      <c r="A1250" s="405" t="s">
        <v>1396</v>
      </c>
      <c r="B1250" s="430" t="s">
        <v>1397</v>
      </c>
      <c r="C1250" s="430"/>
      <c r="D1250" s="430"/>
      <c r="E1250" s="430"/>
      <c r="F1250" s="430"/>
      <c r="EH1250" s="3"/>
      <c r="GS1250" s="2"/>
      <c r="GT1250" s="4"/>
      <c r="GU1250" s="4"/>
      <c r="GV1250" s="4"/>
      <c r="GW1250" s="4"/>
      <c r="GX1250" s="4"/>
      <c r="GY1250" s="4"/>
      <c r="GZ1250" s="4"/>
      <c r="HA1250" s="4"/>
      <c r="HG1250" s="134"/>
    </row>
    <row r="1251" spans="1:256" ht="17.25" customHeight="1" x14ac:dyDescent="0.2">
      <c r="A1251" s="405" t="s">
        <v>1398</v>
      </c>
      <c r="B1251" s="381" t="s">
        <v>1399</v>
      </c>
      <c r="C1251" s="379" t="s">
        <v>116</v>
      </c>
      <c r="D1251" s="389">
        <f>125.31*1.04*1.04*1.055*1.05</f>
        <v>150.13999999999999</v>
      </c>
      <c r="E1251" s="14">
        <f>D1251*20%</f>
        <v>30.03</v>
      </c>
      <c r="F1251" s="97">
        <f>D1251+E1251</f>
        <v>180.17</v>
      </c>
      <c r="EH1251" s="3"/>
      <c r="GS1251" s="2"/>
      <c r="GT1251" s="4"/>
      <c r="GU1251" s="4"/>
      <c r="GV1251" s="4"/>
      <c r="GW1251" s="4"/>
      <c r="GX1251" s="4"/>
      <c r="GY1251" s="4"/>
      <c r="GZ1251" s="4"/>
      <c r="HA1251" s="4"/>
      <c r="HF1251" s="171"/>
      <c r="HG1251" s="134"/>
      <c r="IU1251" s="359">
        <v>115.3</v>
      </c>
      <c r="IV1251" s="123">
        <f>115.3*1.045</f>
        <v>120.49</v>
      </c>
    </row>
    <row r="1252" spans="1:256" ht="47.25" x14ac:dyDescent="0.2">
      <c r="A1252" s="405" t="s">
        <v>1400</v>
      </c>
      <c r="B1252" s="381" t="s">
        <v>1401</v>
      </c>
      <c r="C1252" s="379" t="s">
        <v>1402</v>
      </c>
      <c r="D1252" s="389">
        <f>62.54*1.04*1.04*1.055*1.05</f>
        <v>74.930000000000007</v>
      </c>
      <c r="E1252" s="14">
        <f>D1252*20%</f>
        <v>14.99</v>
      </c>
      <c r="F1252" s="97">
        <f>D1252+E1252</f>
        <v>89.92</v>
      </c>
      <c r="EH1252" s="3"/>
      <c r="GS1252" s="2"/>
      <c r="GT1252" s="4"/>
      <c r="GU1252" s="4"/>
      <c r="GV1252" s="4"/>
      <c r="GW1252" s="4"/>
      <c r="GX1252" s="4"/>
      <c r="GY1252" s="4"/>
      <c r="GZ1252" s="4"/>
      <c r="HA1252" s="4"/>
      <c r="HF1252" s="171"/>
      <c r="HG1252" s="134"/>
      <c r="IU1252" s="359">
        <v>57.54</v>
      </c>
      <c r="IV1252" s="123">
        <f>57.54*1.045</f>
        <v>60.13</v>
      </c>
    </row>
    <row r="1253" spans="1:256" ht="15.75" customHeight="1" x14ac:dyDescent="0.2">
      <c r="A1253" s="405" t="s">
        <v>1403</v>
      </c>
      <c r="B1253" s="430" t="s">
        <v>1404</v>
      </c>
      <c r="C1253" s="430"/>
      <c r="D1253" s="430"/>
      <c r="E1253" s="430"/>
      <c r="F1253" s="430"/>
      <c r="EH1253" s="3"/>
      <c r="GS1253" s="2"/>
      <c r="GT1253" s="4"/>
      <c r="GU1253" s="4"/>
      <c r="GV1253" s="4"/>
      <c r="GW1253" s="4"/>
      <c r="GX1253" s="4"/>
      <c r="GY1253" s="4"/>
      <c r="GZ1253" s="4"/>
      <c r="HA1253" s="4"/>
      <c r="HG1253" s="134"/>
    </row>
    <row r="1254" spans="1:256" ht="22.5" customHeight="1" x14ac:dyDescent="0.2">
      <c r="A1254" s="405" t="s">
        <v>1405</v>
      </c>
      <c r="B1254" s="381" t="s">
        <v>1399</v>
      </c>
      <c r="C1254" s="379" t="s">
        <v>1406</v>
      </c>
      <c r="D1254" s="389">
        <f>0.38*1.04*1.04*1.055*1.05</f>
        <v>0.46</v>
      </c>
      <c r="E1254" s="14">
        <f>D1254*20%</f>
        <v>0.09</v>
      </c>
      <c r="F1254" s="97">
        <f>D1254+E1254</f>
        <v>0.55000000000000004</v>
      </c>
      <c r="EH1254" s="3"/>
      <c r="GS1254" s="2"/>
      <c r="GT1254" s="4"/>
      <c r="GU1254" s="4"/>
      <c r="GV1254" s="4"/>
      <c r="GW1254" s="4"/>
      <c r="GX1254" s="4"/>
      <c r="GY1254" s="4"/>
      <c r="GZ1254" s="4"/>
      <c r="HA1254" s="4"/>
      <c r="HF1254" s="171"/>
      <c r="HG1254" s="134"/>
      <c r="IU1254" s="359">
        <v>0.35</v>
      </c>
      <c r="IV1254" s="123">
        <f>0.35*1.045</f>
        <v>0.37</v>
      </c>
    </row>
    <row r="1255" spans="1:256" ht="15.75" x14ac:dyDescent="0.2">
      <c r="A1255" s="405" t="s">
        <v>1407</v>
      </c>
      <c r="B1255" s="381" t="s">
        <v>1401</v>
      </c>
      <c r="C1255" s="379" t="s">
        <v>1408</v>
      </c>
      <c r="D1255" s="389">
        <f>0.25*1.04*1.04*1.055*1.05</f>
        <v>0.3</v>
      </c>
      <c r="E1255" s="14">
        <f>D1255*20%</f>
        <v>0.06</v>
      </c>
      <c r="F1255" s="97">
        <f>D1255+E1255</f>
        <v>0.36</v>
      </c>
      <c r="EH1255" s="3"/>
      <c r="GS1255" s="2"/>
      <c r="GT1255" s="4"/>
      <c r="GU1255" s="4"/>
      <c r="GV1255" s="4"/>
      <c r="GW1255" s="4"/>
      <c r="GX1255" s="4"/>
      <c r="GY1255" s="4"/>
      <c r="GZ1255" s="4"/>
      <c r="HA1255" s="4"/>
      <c r="HF1255" s="171"/>
      <c r="HG1255" s="134"/>
      <c r="IU1255" s="359">
        <v>0.23</v>
      </c>
      <c r="IV1255" s="123">
        <f>0.23*1.045</f>
        <v>0.24</v>
      </c>
    </row>
    <row r="1256" spans="1:256" ht="36" customHeight="1" x14ac:dyDescent="0.2">
      <c r="A1256" s="405" t="s">
        <v>1409</v>
      </c>
      <c r="B1256" s="430" t="s">
        <v>1410</v>
      </c>
      <c r="C1256" s="430"/>
      <c r="D1256" s="430"/>
      <c r="E1256" s="430"/>
      <c r="F1256" s="430"/>
      <c r="EH1256" s="3"/>
      <c r="GS1256" s="2"/>
      <c r="GT1256" s="4"/>
      <c r="GU1256" s="4"/>
      <c r="GV1256" s="4"/>
      <c r="GW1256" s="4"/>
      <c r="GX1256" s="4"/>
      <c r="GY1256" s="4"/>
      <c r="GZ1256" s="4"/>
      <c r="HA1256" s="4"/>
      <c r="HG1256" s="134"/>
    </row>
    <row r="1257" spans="1:256" ht="21.75" customHeight="1" x14ac:dyDescent="0.2">
      <c r="A1257" s="405" t="s">
        <v>1411</v>
      </c>
      <c r="B1257" s="381" t="s">
        <v>1399</v>
      </c>
      <c r="C1257" s="379" t="s">
        <v>1412</v>
      </c>
      <c r="D1257" s="389">
        <f>375.94*1.04*1.04*1.055*1.05</f>
        <v>450.43</v>
      </c>
      <c r="E1257" s="14">
        <f>D1257*20%</f>
        <v>90.09</v>
      </c>
      <c r="F1257" s="97">
        <f>D1257+E1257</f>
        <v>540.52</v>
      </c>
      <c r="EH1257" s="3"/>
      <c r="GS1257" s="2"/>
      <c r="GT1257" s="4"/>
      <c r="GU1257" s="4"/>
      <c r="GV1257" s="4"/>
      <c r="GW1257" s="4"/>
      <c r="GX1257" s="4"/>
      <c r="GY1257" s="4"/>
      <c r="GZ1257" s="4"/>
      <c r="HA1257" s="4"/>
      <c r="HF1257" s="171"/>
      <c r="HG1257" s="134"/>
      <c r="IU1257" s="359">
        <v>345.91</v>
      </c>
      <c r="IV1257" s="123">
        <f>345.91*1.045</f>
        <v>361.48</v>
      </c>
    </row>
    <row r="1258" spans="1:256" ht="23.25" customHeight="1" x14ac:dyDescent="0.2">
      <c r="A1258" s="405" t="s">
        <v>1413</v>
      </c>
      <c r="B1258" s="381" t="s">
        <v>1401</v>
      </c>
      <c r="C1258" s="379" t="s">
        <v>1414</v>
      </c>
      <c r="D1258" s="389">
        <f>310.03*1.04*1.04*1.055*1.05</f>
        <v>371.46</v>
      </c>
      <c r="E1258" s="14">
        <f>D1258*20%</f>
        <v>74.290000000000006</v>
      </c>
      <c r="F1258" s="97">
        <f>D1258+E1258</f>
        <v>445.75</v>
      </c>
      <c r="EH1258" s="3"/>
      <c r="GS1258" s="2"/>
      <c r="GT1258" s="4"/>
      <c r="GU1258" s="4"/>
      <c r="GV1258" s="4"/>
      <c r="GW1258" s="4"/>
      <c r="GX1258" s="4"/>
      <c r="GY1258" s="4"/>
      <c r="GZ1258" s="4"/>
      <c r="HA1258" s="4"/>
      <c r="HF1258" s="171"/>
      <c r="HG1258" s="134"/>
      <c r="IU1258" s="359">
        <v>285.27</v>
      </c>
      <c r="IV1258" s="123">
        <f>285.27*1.045</f>
        <v>298.11</v>
      </c>
    </row>
    <row r="1259" spans="1:256" ht="51" customHeight="1" x14ac:dyDescent="0.2">
      <c r="A1259" s="405" t="s">
        <v>1415</v>
      </c>
      <c r="B1259" s="403" t="s">
        <v>1416</v>
      </c>
      <c r="C1259" s="379" t="s">
        <v>202</v>
      </c>
      <c r="D1259" s="389">
        <f>1.61*1.04*1.04*1.055*1.05</f>
        <v>1.93</v>
      </c>
      <c r="E1259" s="14">
        <f>D1259*20%</f>
        <v>0.39</v>
      </c>
      <c r="F1259" s="97">
        <f>D1259+E1259</f>
        <v>2.3199999999999998</v>
      </c>
      <c r="EH1259" s="3"/>
      <c r="GS1259" s="2"/>
      <c r="GT1259" s="4"/>
      <c r="GU1259" s="4"/>
      <c r="GV1259" s="4"/>
      <c r="GW1259" s="4"/>
      <c r="GX1259" s="4"/>
      <c r="GY1259" s="4"/>
      <c r="GZ1259" s="4"/>
      <c r="HA1259" s="4"/>
      <c r="HF1259" s="171"/>
      <c r="HG1259" s="134"/>
      <c r="IU1259" s="359">
        <v>1.48</v>
      </c>
      <c r="IV1259" s="123">
        <f>1.48*1.045</f>
        <v>1.55</v>
      </c>
    </row>
    <row r="1260" spans="1:256" ht="33.75" customHeight="1" x14ac:dyDescent="0.2">
      <c r="A1260" s="405" t="s">
        <v>1417</v>
      </c>
      <c r="B1260" s="430" t="s">
        <v>1418</v>
      </c>
      <c r="C1260" s="430"/>
      <c r="D1260" s="430"/>
      <c r="E1260" s="430"/>
      <c r="F1260" s="430"/>
      <c r="EH1260" s="3"/>
      <c r="GS1260" s="2"/>
      <c r="GT1260" s="4"/>
      <c r="GU1260" s="4"/>
      <c r="GV1260" s="4"/>
      <c r="GW1260" s="4"/>
      <c r="GX1260" s="4"/>
      <c r="GY1260" s="4"/>
      <c r="GZ1260" s="4"/>
      <c r="HA1260" s="4"/>
      <c r="HG1260" s="134"/>
    </row>
    <row r="1261" spans="1:256" ht="19.5" customHeight="1" x14ac:dyDescent="0.2">
      <c r="A1261" s="405" t="s">
        <v>1419</v>
      </c>
      <c r="B1261" s="381" t="s">
        <v>1399</v>
      </c>
      <c r="C1261" s="379" t="s">
        <v>116</v>
      </c>
      <c r="D1261" s="389">
        <f>92.38*1.04*1.04*1.055*1.05</f>
        <v>110.68</v>
      </c>
      <c r="E1261" s="14">
        <f>D1261*20%</f>
        <v>22.14</v>
      </c>
      <c r="F1261" s="97">
        <f>D1261+E1261</f>
        <v>132.82</v>
      </c>
      <c r="EH1261" s="3"/>
      <c r="GS1261" s="2"/>
      <c r="GT1261" s="4"/>
      <c r="GU1261" s="4"/>
      <c r="GV1261" s="4"/>
      <c r="GW1261" s="4"/>
      <c r="GX1261" s="4"/>
      <c r="GY1261" s="4"/>
      <c r="GZ1261" s="4"/>
      <c r="HA1261" s="4"/>
      <c r="HF1261" s="171"/>
      <c r="HG1261" s="134"/>
      <c r="IU1261" s="359">
        <v>85</v>
      </c>
      <c r="IV1261" s="123">
        <f>85*1.045</f>
        <v>88.83</v>
      </c>
    </row>
    <row r="1262" spans="1:256" ht="21.75" customHeight="1" x14ac:dyDescent="0.2">
      <c r="A1262" s="405" t="s">
        <v>1420</v>
      </c>
      <c r="B1262" s="381" t="s">
        <v>1401</v>
      </c>
      <c r="C1262" s="379" t="s">
        <v>116</v>
      </c>
      <c r="D1262" s="389">
        <f>182.61*1.04*1.055*1.05</f>
        <v>210.38</v>
      </c>
      <c r="E1262" s="14">
        <f>D1262*20%</f>
        <v>42.08</v>
      </c>
      <c r="F1262" s="97">
        <f>D1262+E1262</f>
        <v>252.46</v>
      </c>
      <c r="EH1262" s="3"/>
      <c r="GS1262" s="2"/>
      <c r="GT1262" s="4"/>
      <c r="GU1262" s="4"/>
      <c r="GV1262" s="4"/>
      <c r="GW1262" s="4"/>
      <c r="GX1262" s="4"/>
      <c r="GY1262" s="4"/>
      <c r="GZ1262" s="4"/>
      <c r="HA1262" s="4"/>
      <c r="HF1262" s="171"/>
      <c r="HG1262" s="134"/>
      <c r="IU1262" s="359">
        <v>174.75</v>
      </c>
      <c r="IV1262" s="123">
        <f>174.75*1.045</f>
        <v>182.61</v>
      </c>
    </row>
    <row r="1263" spans="1:256" ht="49.5" customHeight="1" x14ac:dyDescent="0.2">
      <c r="A1263" s="405" t="s">
        <v>525</v>
      </c>
      <c r="B1263" s="381" t="s">
        <v>1421</v>
      </c>
      <c r="C1263" s="379" t="s">
        <v>1422</v>
      </c>
      <c r="D1263" s="389">
        <f>955.39*1.04*1.04*1.055*1.05</f>
        <v>1144.69</v>
      </c>
      <c r="E1263" s="14">
        <f>D1263*20%</f>
        <v>228.94</v>
      </c>
      <c r="F1263" s="97">
        <f>D1263+E1263</f>
        <v>1373.63</v>
      </c>
      <c r="EH1263" s="3"/>
      <c r="GS1263" s="2"/>
      <c r="GT1263" s="4"/>
      <c r="GU1263" s="4"/>
      <c r="GV1263" s="4"/>
      <c r="GW1263" s="4"/>
      <c r="GX1263" s="4"/>
      <c r="GY1263" s="4"/>
      <c r="GZ1263" s="4"/>
      <c r="HA1263" s="4"/>
      <c r="HF1263" s="171"/>
      <c r="HG1263" s="134"/>
      <c r="IU1263" s="359">
        <v>879.08</v>
      </c>
      <c r="IV1263" s="123">
        <f>879.08*1.045</f>
        <v>918.64</v>
      </c>
    </row>
    <row r="1264" spans="1:256" ht="63" customHeight="1" x14ac:dyDescent="0.2">
      <c r="A1264" s="177" t="s">
        <v>26</v>
      </c>
      <c r="B1264" s="437" t="s">
        <v>1999</v>
      </c>
      <c r="C1264" s="437"/>
      <c r="D1264" s="437"/>
      <c r="E1264" s="437"/>
      <c r="F1264" s="437"/>
      <c r="EH1264" s="3"/>
      <c r="GS1264" s="2"/>
      <c r="GT1264" s="4"/>
      <c r="GU1264" s="4"/>
      <c r="GV1264" s="4"/>
      <c r="GW1264" s="4"/>
      <c r="GX1264" s="4"/>
      <c r="GY1264" s="4"/>
      <c r="GZ1264" s="4"/>
      <c r="HA1264" s="4"/>
      <c r="HG1264" s="134"/>
    </row>
    <row r="1265" spans="1:256" ht="68.25" customHeight="1" x14ac:dyDescent="0.2">
      <c r="A1265" s="439" t="s">
        <v>563</v>
      </c>
      <c r="B1265" s="430" t="s">
        <v>1424</v>
      </c>
      <c r="C1265" s="430"/>
      <c r="D1265" s="430"/>
      <c r="E1265" s="430"/>
      <c r="F1265" s="430"/>
      <c r="EH1265" s="3"/>
      <c r="GS1265" s="2"/>
      <c r="GT1265" s="4"/>
      <c r="GU1265" s="4"/>
      <c r="GV1265" s="4"/>
      <c r="GW1265" s="4"/>
      <c r="GX1265" s="4"/>
      <c r="GY1265" s="4"/>
      <c r="GZ1265" s="4"/>
      <c r="HA1265" s="4"/>
      <c r="HG1265" s="134"/>
    </row>
    <row r="1266" spans="1:256" ht="39" customHeight="1" x14ac:dyDescent="0.2">
      <c r="A1266" s="439"/>
      <c r="B1266" s="430" t="s">
        <v>1425</v>
      </c>
      <c r="C1266" s="430"/>
      <c r="D1266" s="430"/>
      <c r="E1266" s="430"/>
      <c r="F1266" s="430"/>
      <c r="EH1266" s="3"/>
      <c r="GS1266" s="2"/>
      <c r="GT1266" s="4"/>
      <c r="GU1266" s="4"/>
      <c r="GV1266" s="4"/>
      <c r="GW1266" s="4"/>
      <c r="GX1266" s="4"/>
      <c r="GY1266" s="4"/>
      <c r="GZ1266" s="4"/>
      <c r="HA1266" s="4"/>
      <c r="HG1266" s="134"/>
    </row>
    <row r="1267" spans="1:256" ht="35.25" customHeight="1" x14ac:dyDescent="0.2">
      <c r="A1267" s="439"/>
      <c r="B1267" s="430" t="s">
        <v>1426</v>
      </c>
      <c r="C1267" s="430"/>
      <c r="D1267" s="430"/>
      <c r="E1267" s="430"/>
      <c r="F1267" s="430"/>
      <c r="EH1267" s="3"/>
      <c r="GS1267" s="2"/>
      <c r="GT1267" s="4"/>
      <c r="GU1267" s="4"/>
      <c r="GV1267" s="4"/>
      <c r="GW1267" s="4"/>
      <c r="GX1267" s="4"/>
      <c r="GY1267" s="4"/>
      <c r="GZ1267" s="4"/>
      <c r="HA1267" s="4"/>
      <c r="HG1267" s="134"/>
    </row>
    <row r="1268" spans="1:256" ht="24.75" customHeight="1" x14ac:dyDescent="0.2">
      <c r="A1268" s="439"/>
      <c r="B1268" s="430" t="s">
        <v>1427</v>
      </c>
      <c r="C1268" s="430"/>
      <c r="D1268" s="430"/>
      <c r="E1268" s="430"/>
      <c r="F1268" s="430"/>
      <c r="EH1268" s="3"/>
      <c r="GS1268" s="2"/>
      <c r="GT1268" s="4"/>
      <c r="GU1268" s="4"/>
      <c r="GV1268" s="4"/>
      <c r="GW1268" s="4"/>
      <c r="GX1268" s="4"/>
      <c r="GY1268" s="4"/>
      <c r="GZ1268" s="4"/>
      <c r="HA1268" s="4"/>
      <c r="HG1268" s="134"/>
    </row>
    <row r="1269" spans="1:256" ht="36.75" customHeight="1" x14ac:dyDescent="0.2">
      <c r="A1269" s="439"/>
      <c r="B1269" s="430" t="s">
        <v>1428</v>
      </c>
      <c r="C1269" s="430"/>
      <c r="D1269" s="430"/>
      <c r="E1269" s="430"/>
      <c r="F1269" s="430"/>
      <c r="EH1269" s="3"/>
      <c r="GS1269" s="2"/>
      <c r="GT1269" s="4"/>
      <c r="GU1269" s="4"/>
      <c r="GV1269" s="4"/>
      <c r="GW1269" s="4"/>
      <c r="GX1269" s="4"/>
      <c r="GY1269" s="4"/>
      <c r="GZ1269" s="4"/>
      <c r="HA1269" s="4"/>
      <c r="HG1269" s="134"/>
    </row>
    <row r="1270" spans="1:256" ht="39.75" customHeight="1" x14ac:dyDescent="0.2">
      <c r="A1270" s="439"/>
      <c r="B1270" s="430" t="s">
        <v>1429</v>
      </c>
      <c r="C1270" s="430"/>
      <c r="D1270" s="430"/>
      <c r="E1270" s="430"/>
      <c r="F1270" s="430"/>
      <c r="EH1270" s="3"/>
      <c r="GS1270" s="2"/>
      <c r="GT1270" s="4"/>
      <c r="GU1270" s="4"/>
      <c r="GV1270" s="4"/>
      <c r="GW1270" s="4"/>
      <c r="GX1270" s="4"/>
      <c r="GY1270" s="4"/>
      <c r="GZ1270" s="4"/>
      <c r="HA1270" s="4"/>
      <c r="HG1270" s="134"/>
    </row>
    <row r="1271" spans="1:256" ht="23.25" customHeight="1" x14ac:dyDescent="0.2">
      <c r="A1271" s="439"/>
      <c r="B1271" s="430" t="s">
        <v>1430</v>
      </c>
      <c r="C1271" s="430"/>
      <c r="D1271" s="430"/>
      <c r="E1271" s="430"/>
      <c r="F1271" s="430"/>
      <c r="EH1271" s="3"/>
      <c r="GS1271" s="2"/>
      <c r="GT1271" s="4"/>
      <c r="GU1271" s="4"/>
      <c r="GV1271" s="4"/>
      <c r="GW1271" s="4"/>
      <c r="GX1271" s="4"/>
      <c r="GY1271" s="4"/>
      <c r="GZ1271" s="4"/>
      <c r="HA1271" s="4"/>
      <c r="HG1271" s="134"/>
    </row>
    <row r="1272" spans="1:256" ht="43.5" customHeight="1" x14ac:dyDescent="0.2">
      <c r="A1272" s="439"/>
      <c r="B1272" s="430" t="s">
        <v>1431</v>
      </c>
      <c r="C1272" s="430"/>
      <c r="D1272" s="430"/>
      <c r="E1272" s="430"/>
      <c r="F1272" s="430"/>
      <c r="EH1272" s="3"/>
      <c r="GS1272" s="2"/>
      <c r="GT1272" s="4"/>
      <c r="GU1272" s="4"/>
      <c r="GV1272" s="4"/>
      <c r="GW1272" s="4"/>
      <c r="GX1272" s="4"/>
      <c r="GY1272" s="4"/>
      <c r="GZ1272" s="4"/>
      <c r="HA1272" s="4"/>
      <c r="HG1272" s="134"/>
    </row>
    <row r="1273" spans="1:256" ht="23.25" customHeight="1" x14ac:dyDescent="0.2">
      <c r="A1273" s="439"/>
      <c r="B1273" s="430" t="s">
        <v>1432</v>
      </c>
      <c r="C1273" s="430"/>
      <c r="D1273" s="430"/>
      <c r="E1273" s="430"/>
      <c r="F1273" s="430"/>
      <c r="EH1273" s="3"/>
      <c r="GS1273" s="2"/>
      <c r="GT1273" s="4"/>
      <c r="GU1273" s="4"/>
      <c r="GV1273" s="4"/>
      <c r="GW1273" s="4"/>
      <c r="GX1273" s="4"/>
      <c r="GY1273" s="4"/>
      <c r="GZ1273" s="4"/>
      <c r="HA1273" s="4"/>
      <c r="HG1273" s="134"/>
    </row>
    <row r="1274" spans="1:256" ht="33.75" customHeight="1" x14ac:dyDescent="0.2">
      <c r="A1274" s="439"/>
      <c r="B1274" s="430" t="s">
        <v>1433</v>
      </c>
      <c r="C1274" s="430"/>
      <c r="D1274" s="430"/>
      <c r="E1274" s="430"/>
      <c r="F1274" s="430"/>
      <c r="EH1274" s="3"/>
      <c r="GS1274" s="2"/>
      <c r="GT1274" s="4"/>
      <c r="GU1274" s="4"/>
      <c r="GV1274" s="4"/>
      <c r="GW1274" s="4"/>
      <c r="GX1274" s="4"/>
      <c r="GY1274" s="4"/>
      <c r="GZ1274" s="4"/>
      <c r="HA1274" s="4"/>
      <c r="HG1274" s="134"/>
    </row>
    <row r="1275" spans="1:256" ht="23.25" customHeight="1" x14ac:dyDescent="0.2">
      <c r="A1275" s="439"/>
      <c r="B1275" s="430" t="s">
        <v>1434</v>
      </c>
      <c r="C1275" s="430"/>
      <c r="D1275" s="430"/>
      <c r="E1275" s="430"/>
      <c r="F1275" s="430"/>
      <c r="EH1275" s="3"/>
      <c r="GS1275" s="2"/>
      <c r="GT1275" s="4"/>
      <c r="GU1275" s="4"/>
      <c r="GV1275" s="4"/>
      <c r="GW1275" s="4"/>
      <c r="GX1275" s="4"/>
      <c r="GY1275" s="4"/>
      <c r="GZ1275" s="4"/>
      <c r="HA1275" s="4"/>
      <c r="HG1275" s="134"/>
    </row>
    <row r="1276" spans="1:256" ht="15.75" x14ac:dyDescent="0.2">
      <c r="A1276" s="405" t="s">
        <v>1435</v>
      </c>
      <c r="B1276" s="381" t="s">
        <v>1436</v>
      </c>
      <c r="C1276" s="379" t="s">
        <v>116</v>
      </c>
      <c r="D1276" s="389">
        <f>41.05*1.04*1.04*1.055*1.05</f>
        <v>49.18</v>
      </c>
      <c r="E1276" s="14">
        <f>D1276*20%</f>
        <v>9.84</v>
      </c>
      <c r="F1276" s="97">
        <f>D1276+E1276</f>
        <v>59.02</v>
      </c>
      <c r="EH1276" s="3"/>
      <c r="GS1276" s="2"/>
      <c r="GT1276" s="4"/>
      <c r="GU1276" s="4"/>
      <c r="GV1276" s="4"/>
      <c r="GW1276" s="4"/>
      <c r="GX1276" s="4"/>
      <c r="GY1276" s="4"/>
      <c r="GZ1276" s="4"/>
      <c r="HA1276" s="4"/>
      <c r="HF1276" s="171"/>
      <c r="HG1276" s="134"/>
      <c r="IU1276" s="359">
        <v>37.770000000000003</v>
      </c>
      <c r="IV1276" s="123">
        <f>37.77*1.045</f>
        <v>39.47</v>
      </c>
    </row>
    <row r="1277" spans="1:256" ht="15.75" x14ac:dyDescent="0.2">
      <c r="A1277" s="405" t="s">
        <v>1437</v>
      </c>
      <c r="B1277" s="381" t="s">
        <v>1438</v>
      </c>
      <c r="C1277" s="379" t="s">
        <v>1385</v>
      </c>
      <c r="D1277" s="389">
        <f>36.29*1.04*1.04*1.055*1.05</f>
        <v>43.48</v>
      </c>
      <c r="E1277" s="14">
        <f>D1277*20%</f>
        <v>8.6999999999999993</v>
      </c>
      <c r="F1277" s="97">
        <f>D1277+E1277</f>
        <v>52.18</v>
      </c>
      <c r="EH1277" s="3"/>
      <c r="GS1277" s="2"/>
      <c r="GT1277" s="4"/>
      <c r="GU1277" s="4"/>
      <c r="GV1277" s="4"/>
      <c r="GW1277" s="4"/>
      <c r="GX1277" s="4"/>
      <c r="GY1277" s="4"/>
      <c r="GZ1277" s="4"/>
      <c r="HA1277" s="4"/>
      <c r="HF1277" s="171"/>
      <c r="HG1277" s="134"/>
      <c r="IU1277" s="359">
        <v>33.39</v>
      </c>
      <c r="IV1277" s="123">
        <f>33.39*1.045</f>
        <v>34.89</v>
      </c>
    </row>
    <row r="1278" spans="1:256" ht="47.25" x14ac:dyDescent="0.2">
      <c r="A1278" s="405" t="s">
        <v>1439</v>
      </c>
      <c r="B1278" s="381" t="s">
        <v>1440</v>
      </c>
      <c r="C1278" s="379" t="s">
        <v>1441</v>
      </c>
      <c r="D1278" s="389">
        <f>18.14*1.04*1.04*1.055*1.05</f>
        <v>21.73</v>
      </c>
      <c r="E1278" s="14">
        <f>D1278*20%</f>
        <v>4.3499999999999996</v>
      </c>
      <c r="F1278" s="97">
        <f>D1278+E1278</f>
        <v>26.08</v>
      </c>
      <c r="EH1278" s="3"/>
      <c r="GS1278" s="2"/>
      <c r="GT1278" s="4"/>
      <c r="GU1278" s="4"/>
      <c r="GV1278" s="4"/>
      <c r="GW1278" s="4"/>
      <c r="GX1278" s="4"/>
      <c r="GY1278" s="4"/>
      <c r="GZ1278" s="4"/>
      <c r="HA1278" s="4"/>
      <c r="HF1278" s="171"/>
      <c r="HG1278" s="134"/>
      <c r="IU1278" s="359">
        <v>16.690000000000001</v>
      </c>
      <c r="IV1278" s="123">
        <f>16.69*1.045</f>
        <v>17.440000000000001</v>
      </c>
    </row>
    <row r="1279" spans="1:256" ht="23.25" customHeight="1" x14ac:dyDescent="0.2">
      <c r="A1279" s="405" t="s">
        <v>565</v>
      </c>
      <c r="B1279" s="430" t="s">
        <v>1442</v>
      </c>
      <c r="C1279" s="430"/>
      <c r="D1279" s="430"/>
      <c r="E1279" s="430"/>
      <c r="F1279" s="430"/>
      <c r="EH1279" s="3"/>
      <c r="GS1279" s="2"/>
      <c r="GT1279" s="4"/>
      <c r="GU1279" s="4"/>
      <c r="GV1279" s="4"/>
      <c r="GW1279" s="4"/>
      <c r="GX1279" s="4"/>
      <c r="GY1279" s="4"/>
      <c r="GZ1279" s="4"/>
      <c r="HA1279" s="4"/>
      <c r="HG1279" s="134"/>
    </row>
    <row r="1280" spans="1:256" ht="15.75" x14ac:dyDescent="0.2">
      <c r="A1280" s="405" t="s">
        <v>1443</v>
      </c>
      <c r="B1280" s="381" t="s">
        <v>1444</v>
      </c>
      <c r="C1280" s="379" t="s">
        <v>116</v>
      </c>
      <c r="D1280" s="389">
        <f>48.94*1.04*1.04*1.055*1.05</f>
        <v>58.64</v>
      </c>
      <c r="E1280" s="14">
        <f>D1280*20%</f>
        <v>11.73</v>
      </c>
      <c r="F1280" s="97">
        <f>D1280+E1280</f>
        <v>70.37</v>
      </c>
      <c r="EH1280" s="3"/>
      <c r="GS1280" s="2"/>
      <c r="GT1280" s="4"/>
      <c r="GU1280" s="4"/>
      <c r="GV1280" s="4"/>
      <c r="GW1280" s="4"/>
      <c r="GX1280" s="4"/>
      <c r="GY1280" s="4"/>
      <c r="GZ1280" s="4"/>
      <c r="HA1280" s="4"/>
      <c r="HF1280" s="171"/>
      <c r="HG1280" s="134"/>
      <c r="IU1280" s="359">
        <v>45.03</v>
      </c>
      <c r="IV1280" s="123">
        <f>45.03*1.045</f>
        <v>47.06</v>
      </c>
    </row>
    <row r="1281" spans="1:256" ht="47.25" x14ac:dyDescent="0.2">
      <c r="A1281" s="405" t="s">
        <v>1445</v>
      </c>
      <c r="B1281" s="381" t="s">
        <v>1446</v>
      </c>
      <c r="C1281" s="379" t="s">
        <v>1447</v>
      </c>
      <c r="D1281" s="389">
        <f>0.54*1.04*1.04*1.055*1.05</f>
        <v>0.65</v>
      </c>
      <c r="E1281" s="14">
        <f>D1281*20%</f>
        <v>0.13</v>
      </c>
      <c r="F1281" s="97">
        <f>D1281+E1281</f>
        <v>0.78</v>
      </c>
      <c r="EH1281" s="3"/>
      <c r="GS1281" s="2"/>
      <c r="GT1281" s="4"/>
      <c r="GU1281" s="4"/>
      <c r="GV1281" s="4"/>
      <c r="GW1281" s="4"/>
      <c r="GX1281" s="4"/>
      <c r="GY1281" s="4"/>
      <c r="GZ1281" s="4"/>
      <c r="HA1281" s="4"/>
      <c r="HF1281" s="171"/>
      <c r="HG1281" s="134"/>
      <c r="IU1281" s="359">
        <v>0.5</v>
      </c>
      <c r="IV1281" s="123">
        <f>0.5*1.045</f>
        <v>0.52</v>
      </c>
    </row>
    <row r="1282" spans="1:256" ht="25.5" customHeight="1" x14ac:dyDescent="0.2">
      <c r="A1282" s="405" t="s">
        <v>567</v>
      </c>
      <c r="B1282" s="430" t="s">
        <v>1448</v>
      </c>
      <c r="C1282" s="430"/>
      <c r="D1282" s="430"/>
      <c r="E1282" s="430"/>
      <c r="F1282" s="430"/>
      <c r="EH1282" s="3"/>
      <c r="GS1282" s="2"/>
      <c r="GT1282" s="4"/>
      <c r="GU1282" s="4"/>
      <c r="GV1282" s="4"/>
      <c r="GW1282" s="4"/>
      <c r="GX1282" s="4"/>
      <c r="GY1282" s="4"/>
      <c r="GZ1282" s="4"/>
      <c r="HA1282" s="4"/>
      <c r="HG1282" s="134"/>
    </row>
    <row r="1283" spans="1:256" ht="15.75" x14ac:dyDescent="0.2">
      <c r="A1283" s="405" t="s">
        <v>1449</v>
      </c>
      <c r="B1283" s="381" t="s">
        <v>1450</v>
      </c>
      <c r="C1283" s="379" t="s">
        <v>116</v>
      </c>
      <c r="D1283" s="389">
        <f>313.89*1.04*1.04*1.055*1.05</f>
        <v>376.08</v>
      </c>
      <c r="E1283" s="14">
        <f t="shared" ref="E1283:E1292" si="117">D1283*20%</f>
        <v>75.22</v>
      </c>
      <c r="F1283" s="97">
        <f t="shared" ref="F1283:F1292" si="118">D1283+E1283</f>
        <v>451.3</v>
      </c>
      <c r="EH1283" s="3"/>
      <c r="GS1283" s="2"/>
      <c r="GT1283" s="4"/>
      <c r="GU1283" s="4"/>
      <c r="GV1283" s="4"/>
      <c r="GW1283" s="4"/>
      <c r="GX1283" s="4"/>
      <c r="GY1283" s="4"/>
      <c r="GZ1283" s="4"/>
      <c r="HA1283" s="4"/>
      <c r="HF1283" s="171"/>
      <c r="HG1283" s="134"/>
      <c r="IU1283" s="359">
        <v>288.82</v>
      </c>
      <c r="IV1283" s="123">
        <f>288.82*1.045</f>
        <v>301.82</v>
      </c>
    </row>
    <row r="1284" spans="1:256" ht="15.75" x14ac:dyDescent="0.2">
      <c r="A1284" s="405" t="s">
        <v>1451</v>
      </c>
      <c r="B1284" s="381" t="s">
        <v>1452</v>
      </c>
      <c r="C1284" s="379" t="s">
        <v>116</v>
      </c>
      <c r="D1284" s="389">
        <f>329.4*1.04*1.04*1.055*1.05</f>
        <v>394.67</v>
      </c>
      <c r="E1284" s="14">
        <f t="shared" si="117"/>
        <v>78.930000000000007</v>
      </c>
      <c r="F1284" s="97">
        <f t="shared" si="118"/>
        <v>473.6</v>
      </c>
      <c r="EH1284" s="3"/>
      <c r="GS1284" s="2"/>
      <c r="GT1284" s="4"/>
      <c r="GU1284" s="4"/>
      <c r="GV1284" s="4"/>
      <c r="GW1284" s="4"/>
      <c r="GX1284" s="4"/>
      <c r="GY1284" s="4"/>
      <c r="GZ1284" s="4"/>
      <c r="HA1284" s="4"/>
      <c r="HF1284" s="171"/>
      <c r="HG1284" s="134"/>
      <c r="IU1284" s="359">
        <v>303.08999999999997</v>
      </c>
      <c r="IV1284" s="123">
        <f>303.09*1.045</f>
        <v>316.73</v>
      </c>
    </row>
    <row r="1285" spans="1:256" ht="15.75" x14ac:dyDescent="0.2">
      <c r="A1285" s="405" t="s">
        <v>1453</v>
      </c>
      <c r="B1285" s="381" t="s">
        <v>1454</v>
      </c>
      <c r="C1285" s="379" t="s">
        <v>116</v>
      </c>
      <c r="D1285" s="389">
        <f>344.92*1.04*1.04*1.055*1.05</f>
        <v>413.26</v>
      </c>
      <c r="E1285" s="14">
        <f t="shared" si="117"/>
        <v>82.65</v>
      </c>
      <c r="F1285" s="97">
        <f t="shared" si="118"/>
        <v>495.91</v>
      </c>
      <c r="EH1285" s="3"/>
      <c r="GS1285" s="2"/>
      <c r="GT1285" s="4"/>
      <c r="GU1285" s="4"/>
      <c r="GV1285" s="4"/>
      <c r="GW1285" s="4"/>
      <c r="GX1285" s="4"/>
      <c r="GY1285" s="4"/>
      <c r="GZ1285" s="4"/>
      <c r="HA1285" s="4"/>
      <c r="HF1285" s="171"/>
      <c r="HG1285" s="134"/>
      <c r="IU1285" s="359">
        <v>317.37</v>
      </c>
      <c r="IV1285" s="123">
        <f>317.37*1.045</f>
        <v>331.65</v>
      </c>
    </row>
    <row r="1286" spans="1:256" ht="15.75" x14ac:dyDescent="0.2">
      <c r="A1286" s="405" t="s">
        <v>1455</v>
      </c>
      <c r="B1286" s="381" t="s">
        <v>1456</v>
      </c>
      <c r="C1286" s="379" t="s">
        <v>116</v>
      </c>
      <c r="D1286" s="389">
        <f>359.94*1.04*1.04*1.055*1.05</f>
        <v>431.26</v>
      </c>
      <c r="E1286" s="14">
        <f t="shared" si="117"/>
        <v>86.25</v>
      </c>
      <c r="F1286" s="97">
        <f t="shared" si="118"/>
        <v>517.51</v>
      </c>
      <c r="EH1286" s="3"/>
      <c r="GS1286" s="2"/>
      <c r="GT1286" s="4"/>
      <c r="GU1286" s="4"/>
      <c r="GV1286" s="4"/>
      <c r="GW1286" s="4"/>
      <c r="GX1286" s="4"/>
      <c r="GY1286" s="4"/>
      <c r="GZ1286" s="4"/>
      <c r="HA1286" s="4"/>
      <c r="HF1286" s="171"/>
      <c r="HG1286" s="134"/>
      <c r="IU1286" s="359">
        <v>331.2</v>
      </c>
      <c r="IV1286" s="123">
        <f>331.2*1.045</f>
        <v>346.1</v>
      </c>
    </row>
    <row r="1287" spans="1:256" s="39" customFormat="1" ht="80.25" customHeight="1" x14ac:dyDescent="0.2">
      <c r="A1287" s="404" t="s">
        <v>569</v>
      </c>
      <c r="B1287" s="397" t="s">
        <v>1457</v>
      </c>
      <c r="C1287" s="379" t="s">
        <v>1385</v>
      </c>
      <c r="D1287" s="389">
        <f>27.69*1.05</f>
        <v>29.07</v>
      </c>
      <c r="E1287" s="14">
        <f t="shared" si="117"/>
        <v>5.81</v>
      </c>
      <c r="F1287" s="97">
        <f t="shared" si="118"/>
        <v>34.880000000000003</v>
      </c>
      <c r="G1287" s="3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K1287" s="182"/>
      <c r="DL1287" s="365"/>
      <c r="DM1287" s="365"/>
      <c r="DN1287" s="365"/>
      <c r="DO1287" s="365"/>
      <c r="DP1287" s="182"/>
      <c r="DQ1287" s="182"/>
      <c r="EH1287" s="3"/>
      <c r="GS1287" s="2"/>
      <c r="GT1287" s="4"/>
      <c r="GU1287" s="4"/>
      <c r="GV1287" s="4"/>
      <c r="GW1287" s="4"/>
      <c r="GX1287" s="4"/>
      <c r="GY1287" s="4"/>
      <c r="GZ1287" s="4"/>
      <c r="HA1287" s="4"/>
      <c r="HF1287" s="364"/>
      <c r="HG1287" s="182"/>
      <c r="IU1287" s="364">
        <v>14.71</v>
      </c>
      <c r="IV1287" s="362">
        <f>14.71*1.055</f>
        <v>15.52</v>
      </c>
    </row>
    <row r="1288" spans="1:256" s="39" customFormat="1" ht="31.5" x14ac:dyDescent="0.2">
      <c r="A1288" s="404" t="s">
        <v>571</v>
      </c>
      <c r="B1288" s="127" t="s">
        <v>1458</v>
      </c>
      <c r="C1288" s="379" t="s">
        <v>1385</v>
      </c>
      <c r="D1288" s="389">
        <f>20.07*1.04*1.04*1.055*1.05</f>
        <v>24.05</v>
      </c>
      <c r="E1288" s="14">
        <f t="shared" si="117"/>
        <v>4.8099999999999996</v>
      </c>
      <c r="F1288" s="97">
        <f t="shared" si="118"/>
        <v>28.86</v>
      </c>
      <c r="G1288" s="3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K1288" s="182"/>
      <c r="DL1288" s="365"/>
      <c r="DM1288" s="365"/>
      <c r="DN1288" s="365"/>
      <c r="DO1288" s="365"/>
      <c r="DP1288" s="182"/>
      <c r="DQ1288" s="182"/>
      <c r="EH1288" s="3"/>
      <c r="GS1288" s="2"/>
      <c r="GT1288" s="4"/>
      <c r="GU1288" s="4"/>
      <c r="GV1288" s="4"/>
      <c r="GW1288" s="4"/>
      <c r="GX1288" s="4"/>
      <c r="GY1288" s="4"/>
      <c r="GZ1288" s="4"/>
      <c r="HA1288" s="4"/>
      <c r="HF1288" s="364"/>
      <c r="HG1288" s="182"/>
      <c r="IU1288" s="364">
        <v>18.47</v>
      </c>
      <c r="IV1288" s="362">
        <f>18.47*1.045</f>
        <v>19.3</v>
      </c>
    </row>
    <row r="1289" spans="1:256" s="39" customFormat="1" ht="82.5" customHeight="1" x14ac:dyDescent="0.2">
      <c r="A1289" s="404" t="s">
        <v>573</v>
      </c>
      <c r="B1289" s="397" t="s">
        <v>1459</v>
      </c>
      <c r="C1289" s="379" t="s">
        <v>1385</v>
      </c>
      <c r="D1289" s="389">
        <f>12.91*1.05</f>
        <v>13.56</v>
      </c>
      <c r="E1289" s="14">
        <f t="shared" si="117"/>
        <v>2.71</v>
      </c>
      <c r="F1289" s="97">
        <f t="shared" si="118"/>
        <v>16.27</v>
      </c>
      <c r="G1289" s="3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K1289" s="182"/>
      <c r="DL1289" s="365"/>
      <c r="DM1289" s="365"/>
      <c r="DN1289" s="365"/>
      <c r="DO1289" s="365"/>
      <c r="DP1289" s="182"/>
      <c r="DQ1289" s="182"/>
      <c r="EH1289" s="3"/>
      <c r="GS1289" s="2"/>
      <c r="GT1289" s="4"/>
      <c r="GU1289" s="4"/>
      <c r="GV1289" s="4"/>
      <c r="GW1289" s="4"/>
      <c r="GX1289" s="4"/>
      <c r="GY1289" s="4"/>
      <c r="GZ1289" s="4"/>
      <c r="HA1289" s="4"/>
      <c r="HF1289" s="364"/>
      <c r="HG1289" s="182"/>
      <c r="IU1289" s="364">
        <v>7.24</v>
      </c>
      <c r="IV1289" s="362">
        <f>7.24*1.055</f>
        <v>7.64</v>
      </c>
    </row>
    <row r="1290" spans="1:256" s="39" customFormat="1" ht="47.25" customHeight="1" x14ac:dyDescent="0.2">
      <c r="A1290" s="404" t="s">
        <v>575</v>
      </c>
      <c r="B1290" s="397" t="s">
        <v>1460</v>
      </c>
      <c r="C1290" s="379" t="s">
        <v>1385</v>
      </c>
      <c r="D1290" s="389">
        <f>22.67*1.05</f>
        <v>23.8</v>
      </c>
      <c r="E1290" s="14">
        <f t="shared" si="117"/>
        <v>4.76</v>
      </c>
      <c r="F1290" s="97">
        <f t="shared" si="118"/>
        <v>28.56</v>
      </c>
      <c r="G1290" s="3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K1290" s="182"/>
      <c r="DL1290" s="365"/>
      <c r="DM1290" s="365"/>
      <c r="DN1290" s="365"/>
      <c r="DO1290" s="365"/>
      <c r="DP1290" s="182"/>
      <c r="DQ1290" s="182"/>
      <c r="EH1290" s="3"/>
      <c r="GS1290" s="2"/>
      <c r="GT1290" s="4"/>
      <c r="GU1290" s="4"/>
      <c r="GV1290" s="4"/>
      <c r="GW1290" s="4"/>
      <c r="GX1290" s="4"/>
      <c r="GY1290" s="4"/>
      <c r="GZ1290" s="4"/>
      <c r="HA1290" s="4"/>
      <c r="HF1290" s="364"/>
      <c r="HG1290" s="182"/>
      <c r="IU1290" s="364">
        <v>14.71</v>
      </c>
      <c r="IV1290" s="362">
        <f>14.71*1.055</f>
        <v>15.52</v>
      </c>
    </row>
    <row r="1291" spans="1:256" s="39" customFormat="1" ht="31.5" customHeight="1" x14ac:dyDescent="0.2">
      <c r="A1291" s="404" t="s">
        <v>1461</v>
      </c>
      <c r="B1291" s="397" t="s">
        <v>1462</v>
      </c>
      <c r="C1291" s="379" t="s">
        <v>1385</v>
      </c>
      <c r="D1291" s="389">
        <f>25.24*1.05</f>
        <v>26.5</v>
      </c>
      <c r="E1291" s="14">
        <f t="shared" si="117"/>
        <v>5.3</v>
      </c>
      <c r="F1291" s="97">
        <f t="shared" si="118"/>
        <v>31.8</v>
      </c>
      <c r="G1291" s="3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K1291" s="182"/>
      <c r="DL1291" s="365"/>
      <c r="DM1291" s="365"/>
      <c r="DN1291" s="365"/>
      <c r="DO1291" s="365"/>
      <c r="DP1291" s="182"/>
      <c r="DQ1291" s="182"/>
      <c r="EH1291" s="3"/>
      <c r="GS1291" s="2"/>
      <c r="GT1291" s="4"/>
      <c r="GU1291" s="4"/>
      <c r="GV1291" s="4"/>
      <c r="GW1291" s="4"/>
      <c r="GX1291" s="4"/>
      <c r="GY1291" s="4"/>
      <c r="GZ1291" s="4"/>
      <c r="HA1291" s="4"/>
      <c r="HF1291" s="364"/>
      <c r="HG1291" s="182"/>
      <c r="IU1291" s="364">
        <v>16.25</v>
      </c>
      <c r="IV1291" s="362">
        <f>16.25*1.045</f>
        <v>16.98</v>
      </c>
    </row>
    <row r="1292" spans="1:256" s="39" customFormat="1" ht="32.25" customHeight="1" x14ac:dyDescent="0.2">
      <c r="A1292" s="404" t="s">
        <v>1463</v>
      </c>
      <c r="B1292" s="397" t="s">
        <v>1464</v>
      </c>
      <c r="C1292" s="379" t="s">
        <v>1385</v>
      </c>
      <c r="D1292" s="389">
        <f>9.56*1.04*1.04*1.055*1.05</f>
        <v>11.45</v>
      </c>
      <c r="E1292" s="14">
        <f t="shared" si="117"/>
        <v>2.29</v>
      </c>
      <c r="F1292" s="97">
        <f t="shared" si="118"/>
        <v>13.74</v>
      </c>
      <c r="G1292" s="3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K1292" s="182"/>
      <c r="DL1292" s="365"/>
      <c r="DM1292" s="365"/>
      <c r="DN1292" s="365"/>
      <c r="DO1292" s="365"/>
      <c r="DP1292" s="182"/>
      <c r="DQ1292" s="182"/>
      <c r="EH1292" s="3"/>
      <c r="GS1292" s="2"/>
      <c r="GT1292" s="4"/>
      <c r="GU1292" s="4"/>
      <c r="GV1292" s="4"/>
      <c r="GW1292" s="4"/>
      <c r="GX1292" s="4"/>
      <c r="GY1292" s="4"/>
      <c r="GZ1292" s="4"/>
      <c r="HA1292" s="4"/>
      <c r="HF1292" s="364"/>
      <c r="HG1292" s="182"/>
      <c r="IU1292" s="364">
        <v>8.7899999999999991</v>
      </c>
      <c r="IV1292" s="362">
        <f>8.79*1.045</f>
        <v>9.19</v>
      </c>
    </row>
    <row r="1293" spans="1:256" s="39" customFormat="1" ht="30.75" customHeight="1" x14ac:dyDescent="0.2">
      <c r="A1293" s="404" t="s">
        <v>1465</v>
      </c>
      <c r="B1293" s="430" t="s">
        <v>1466</v>
      </c>
      <c r="C1293" s="430"/>
      <c r="D1293" s="430"/>
      <c r="E1293" s="430"/>
      <c r="F1293" s="430"/>
      <c r="G1293" s="3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K1293" s="182"/>
      <c r="DL1293" s="365"/>
      <c r="DM1293" s="365"/>
      <c r="DN1293" s="365"/>
      <c r="DO1293" s="365"/>
      <c r="DP1293" s="182"/>
      <c r="DQ1293" s="182"/>
      <c r="EH1293" s="3"/>
      <c r="GS1293" s="2"/>
      <c r="GT1293" s="4"/>
      <c r="GU1293" s="4"/>
      <c r="GV1293" s="4"/>
      <c r="GW1293" s="4"/>
      <c r="GX1293" s="4"/>
      <c r="GY1293" s="4"/>
      <c r="GZ1293" s="4"/>
      <c r="HA1293" s="4"/>
      <c r="HG1293" s="182"/>
    </row>
    <row r="1294" spans="1:256" ht="15.75" x14ac:dyDescent="0.2">
      <c r="A1294" s="404" t="s">
        <v>1467</v>
      </c>
      <c r="B1294" s="381" t="s">
        <v>1436</v>
      </c>
      <c r="C1294" s="379" t="s">
        <v>1348</v>
      </c>
      <c r="D1294" s="389">
        <f>2.79*1.04*1.04*1.055*1.05</f>
        <v>3.34</v>
      </c>
      <c r="E1294" s="14">
        <f t="shared" ref="E1294:E1305" si="119">D1294*20%</f>
        <v>0.67</v>
      </c>
      <c r="F1294" s="97">
        <f>D1294+E1294</f>
        <v>4.01</v>
      </c>
      <c r="EH1294" s="3"/>
      <c r="GS1294" s="2"/>
      <c r="GT1294" s="4"/>
      <c r="GU1294" s="4"/>
      <c r="GV1294" s="4"/>
      <c r="GW1294" s="4"/>
      <c r="GX1294" s="4"/>
      <c r="GY1294" s="4"/>
      <c r="GZ1294" s="4"/>
      <c r="HA1294" s="4"/>
      <c r="HF1294" s="171"/>
      <c r="HG1294" s="134"/>
      <c r="IU1294" s="359">
        <v>2.56</v>
      </c>
      <c r="IV1294" s="123">
        <f>2.56*1.045</f>
        <v>2.68</v>
      </c>
    </row>
    <row r="1295" spans="1:256" ht="15.75" x14ac:dyDescent="0.2">
      <c r="A1295" s="404" t="s">
        <v>1468</v>
      </c>
      <c r="B1295" s="381" t="s">
        <v>1469</v>
      </c>
      <c r="C1295" s="379" t="s">
        <v>1385</v>
      </c>
      <c r="D1295" s="389">
        <f>21.25*1.04*1.04*1.055*1.05</f>
        <v>25.46</v>
      </c>
      <c r="E1295" s="14">
        <f t="shared" si="119"/>
        <v>5.09</v>
      </c>
      <c r="F1295" s="97">
        <f>D1295+E1295</f>
        <v>30.55</v>
      </c>
      <c r="EH1295" s="3"/>
      <c r="GS1295" s="2"/>
      <c r="GT1295" s="4"/>
      <c r="GU1295" s="4"/>
      <c r="GV1295" s="4"/>
      <c r="GW1295" s="4"/>
      <c r="GX1295" s="4"/>
      <c r="GY1295" s="4"/>
      <c r="GZ1295" s="4"/>
      <c r="HA1295" s="4"/>
      <c r="HF1295" s="171"/>
      <c r="HG1295" s="134"/>
      <c r="IU1295" s="359">
        <v>19.55</v>
      </c>
      <c r="IV1295" s="123">
        <f>19.55*1.045</f>
        <v>20.43</v>
      </c>
    </row>
    <row r="1296" spans="1:256" ht="15.75" customHeight="1" x14ac:dyDescent="0.2">
      <c r="A1296" s="438" t="s">
        <v>1470</v>
      </c>
      <c r="B1296" s="381" t="s">
        <v>1471</v>
      </c>
      <c r="C1296" s="379" t="s">
        <v>1348</v>
      </c>
      <c r="D1296" s="389">
        <f>0.43*1.04*1.04*1.055*1.05</f>
        <v>0.52</v>
      </c>
      <c r="E1296" s="14">
        <f t="shared" si="119"/>
        <v>0.1</v>
      </c>
      <c r="F1296" s="97">
        <f t="shared" ref="F1296:F1305" si="120">D1296+E1296</f>
        <v>0.62</v>
      </c>
      <c r="EH1296" s="3"/>
      <c r="GS1296" s="2"/>
      <c r="GT1296" s="4"/>
      <c r="GU1296" s="4"/>
      <c r="GV1296" s="4"/>
      <c r="GW1296" s="4"/>
      <c r="GX1296" s="4"/>
      <c r="GY1296" s="4"/>
      <c r="GZ1296" s="4"/>
      <c r="HA1296" s="4"/>
      <c r="HF1296" s="171"/>
      <c r="HG1296" s="134"/>
      <c r="IU1296" s="359">
        <v>0.39</v>
      </c>
      <c r="IV1296" s="123">
        <f>0.39*1.045</f>
        <v>0.41</v>
      </c>
    </row>
    <row r="1297" spans="1:256" ht="77.25" customHeight="1" x14ac:dyDescent="0.2">
      <c r="A1297" s="438"/>
      <c r="B1297" s="381" t="s">
        <v>1472</v>
      </c>
      <c r="C1297" s="379" t="s">
        <v>1385</v>
      </c>
      <c r="D1297" s="389">
        <f>10.75*1.04*1.04*1.055*1.05</f>
        <v>12.88</v>
      </c>
      <c r="E1297" s="14">
        <f t="shared" si="119"/>
        <v>2.58</v>
      </c>
      <c r="F1297" s="97">
        <f t="shared" si="120"/>
        <v>15.46</v>
      </c>
      <c r="EH1297" s="3"/>
      <c r="GS1297" s="2"/>
      <c r="GT1297" s="4"/>
      <c r="GU1297" s="4"/>
      <c r="GV1297" s="4"/>
      <c r="GW1297" s="4"/>
      <c r="GX1297" s="4"/>
      <c r="GY1297" s="4"/>
      <c r="GZ1297" s="4"/>
      <c r="HA1297" s="4"/>
      <c r="HF1297" s="171"/>
      <c r="HG1297" s="134"/>
      <c r="IU1297" s="359">
        <v>9.89</v>
      </c>
      <c r="IV1297" s="123">
        <f>9.89*1.045</f>
        <v>10.34</v>
      </c>
    </row>
    <row r="1298" spans="1:256" ht="32.25" customHeight="1" x14ac:dyDescent="0.2">
      <c r="A1298" s="404" t="s">
        <v>1473</v>
      </c>
      <c r="B1298" s="397" t="s">
        <v>1474</v>
      </c>
      <c r="C1298" s="379" t="s">
        <v>1385</v>
      </c>
      <c r="D1298" s="389">
        <f>10.75*1.04*1.04*1.055*1.05</f>
        <v>12.88</v>
      </c>
      <c r="E1298" s="14">
        <f t="shared" si="119"/>
        <v>2.58</v>
      </c>
      <c r="F1298" s="97">
        <f t="shared" si="120"/>
        <v>15.46</v>
      </c>
      <c r="EH1298" s="3"/>
      <c r="GS1298" s="2"/>
      <c r="GT1298" s="4"/>
      <c r="GU1298" s="4"/>
      <c r="GV1298" s="4"/>
      <c r="GW1298" s="4"/>
      <c r="GX1298" s="4"/>
      <c r="GY1298" s="4"/>
      <c r="GZ1298" s="4"/>
      <c r="HA1298" s="4"/>
      <c r="HF1298" s="171"/>
      <c r="HG1298" s="134"/>
      <c r="IU1298" s="359">
        <v>9.89</v>
      </c>
      <c r="IV1298" s="123">
        <f>9.89*1.045</f>
        <v>10.34</v>
      </c>
    </row>
    <row r="1299" spans="1:256" s="39" customFormat="1" ht="24" customHeight="1" x14ac:dyDescent="0.2">
      <c r="A1299" s="404" t="s">
        <v>1475</v>
      </c>
      <c r="B1299" s="397" t="s">
        <v>1476</v>
      </c>
      <c r="C1299" s="379" t="s">
        <v>1385</v>
      </c>
      <c r="D1299" s="389">
        <f>16.76*1.05</f>
        <v>17.600000000000001</v>
      </c>
      <c r="E1299" s="14">
        <f t="shared" si="119"/>
        <v>3.52</v>
      </c>
      <c r="F1299" s="97">
        <f t="shared" si="120"/>
        <v>21.12</v>
      </c>
      <c r="G1299" s="3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EH1299" s="3"/>
      <c r="GS1299" s="2"/>
      <c r="GT1299" s="4"/>
      <c r="GU1299" s="4"/>
      <c r="GV1299" s="4"/>
      <c r="GW1299" s="4"/>
      <c r="GX1299" s="4"/>
      <c r="GY1299" s="4"/>
      <c r="GZ1299" s="4"/>
      <c r="HA1299" s="4"/>
      <c r="HF1299" s="364"/>
      <c r="HG1299" s="182"/>
      <c r="IU1299" s="364">
        <v>9.89</v>
      </c>
      <c r="IV1299" s="362">
        <f>9.89*1.045</f>
        <v>10.34</v>
      </c>
    </row>
    <row r="1300" spans="1:256" ht="34.5" customHeight="1" x14ac:dyDescent="0.2">
      <c r="A1300" s="404" t="s">
        <v>1477</v>
      </c>
      <c r="B1300" s="397" t="s">
        <v>1478</v>
      </c>
      <c r="C1300" s="379" t="s">
        <v>1385</v>
      </c>
      <c r="D1300" s="389">
        <f>10.75*1.04*1.04*1.055*1.05</f>
        <v>12.88</v>
      </c>
      <c r="E1300" s="14">
        <f t="shared" si="119"/>
        <v>2.58</v>
      </c>
      <c r="F1300" s="97">
        <f t="shared" si="120"/>
        <v>15.46</v>
      </c>
      <c r="EH1300" s="3"/>
      <c r="GS1300" s="2"/>
      <c r="GT1300" s="4"/>
      <c r="GU1300" s="4"/>
      <c r="GV1300" s="4"/>
      <c r="GW1300" s="4"/>
      <c r="GX1300" s="4"/>
      <c r="GY1300" s="4"/>
      <c r="GZ1300" s="4"/>
      <c r="HA1300" s="4"/>
      <c r="HF1300" s="171"/>
      <c r="HG1300" s="134"/>
      <c r="IU1300" s="359">
        <v>9.89</v>
      </c>
      <c r="IV1300" s="123">
        <f>9.89*1.045</f>
        <v>10.34</v>
      </c>
    </row>
    <row r="1301" spans="1:256" ht="29.25" customHeight="1" x14ac:dyDescent="0.2">
      <c r="A1301" s="404" t="s">
        <v>1479</v>
      </c>
      <c r="B1301" s="397" t="s">
        <v>1480</v>
      </c>
      <c r="C1301" s="379" t="s">
        <v>1385</v>
      </c>
      <c r="D1301" s="389">
        <f>16*1.04*1.04*1.055*1.05</f>
        <v>19.170000000000002</v>
      </c>
      <c r="E1301" s="14">
        <f t="shared" si="119"/>
        <v>3.83</v>
      </c>
      <c r="F1301" s="97">
        <f t="shared" si="120"/>
        <v>23</v>
      </c>
      <c r="EH1301" s="3"/>
      <c r="GS1301" s="2"/>
      <c r="GT1301" s="4"/>
      <c r="GU1301" s="4"/>
      <c r="GV1301" s="4"/>
      <c r="GW1301" s="4"/>
      <c r="GX1301" s="4"/>
      <c r="GY1301" s="4"/>
      <c r="GZ1301" s="4"/>
      <c r="HA1301" s="4"/>
      <c r="HF1301" s="171"/>
      <c r="HG1301" s="134"/>
      <c r="IU1301" s="359">
        <v>14.72</v>
      </c>
      <c r="IV1301" s="123">
        <f>14.72*1.045</f>
        <v>15.38</v>
      </c>
    </row>
    <row r="1302" spans="1:256" ht="27.75" x14ac:dyDescent="0.2">
      <c r="A1302" s="404" t="s">
        <v>1481</v>
      </c>
      <c r="B1302" s="397" t="s">
        <v>1482</v>
      </c>
      <c r="C1302" s="379" t="s">
        <v>1385</v>
      </c>
      <c r="D1302" s="389">
        <f>16*1.04*1.04*1.055*1.05</f>
        <v>19.170000000000002</v>
      </c>
      <c r="E1302" s="14">
        <f t="shared" si="119"/>
        <v>3.83</v>
      </c>
      <c r="F1302" s="97">
        <f t="shared" si="120"/>
        <v>23</v>
      </c>
      <c r="EH1302" s="3"/>
      <c r="GS1302" s="2"/>
      <c r="GT1302" s="4"/>
      <c r="GU1302" s="4"/>
      <c r="GV1302" s="4"/>
      <c r="GW1302" s="4"/>
      <c r="GX1302" s="4"/>
      <c r="GY1302" s="4"/>
      <c r="GZ1302" s="4"/>
      <c r="HA1302" s="4"/>
      <c r="HF1302" s="171"/>
      <c r="HG1302" s="134"/>
      <c r="IU1302" s="359">
        <v>14.72</v>
      </c>
      <c r="IV1302" s="123">
        <f>14.72*1.045</f>
        <v>15.38</v>
      </c>
    </row>
    <row r="1303" spans="1:256" ht="50.25" customHeight="1" x14ac:dyDescent="0.2">
      <c r="A1303" s="404" t="s">
        <v>1483</v>
      </c>
      <c r="B1303" s="397" t="s">
        <v>1484</v>
      </c>
      <c r="C1303" s="379" t="s">
        <v>1385</v>
      </c>
      <c r="D1303" s="389">
        <f>16*1.04*1.04*1.055*1.05</f>
        <v>19.170000000000002</v>
      </c>
      <c r="E1303" s="14">
        <f t="shared" si="119"/>
        <v>3.83</v>
      </c>
      <c r="F1303" s="97">
        <f t="shared" si="120"/>
        <v>23</v>
      </c>
      <c r="EH1303" s="3"/>
      <c r="GS1303" s="2"/>
      <c r="GT1303" s="4"/>
      <c r="GU1303" s="4"/>
      <c r="GV1303" s="4"/>
      <c r="GW1303" s="4"/>
      <c r="GX1303" s="4"/>
      <c r="GY1303" s="4"/>
      <c r="GZ1303" s="4"/>
      <c r="HA1303" s="4"/>
      <c r="HF1303" s="171"/>
      <c r="HG1303" s="134"/>
      <c r="IU1303" s="359">
        <v>14.72</v>
      </c>
      <c r="IV1303" s="123">
        <f>14.72*1.045</f>
        <v>15.38</v>
      </c>
    </row>
    <row r="1304" spans="1:256" ht="33.75" customHeight="1" x14ac:dyDescent="0.2">
      <c r="A1304" s="404" t="s">
        <v>1485</v>
      </c>
      <c r="B1304" s="397" t="s">
        <v>1486</v>
      </c>
      <c r="C1304" s="379" t="s">
        <v>1385</v>
      </c>
      <c r="D1304" s="389">
        <f>16*1.04*1.04*1.055*1.05</f>
        <v>19.170000000000002</v>
      </c>
      <c r="E1304" s="14">
        <f t="shared" si="119"/>
        <v>3.83</v>
      </c>
      <c r="F1304" s="97">
        <f t="shared" si="120"/>
        <v>23</v>
      </c>
      <c r="EH1304" s="3"/>
      <c r="GS1304" s="2"/>
      <c r="GT1304" s="4"/>
      <c r="GU1304" s="4"/>
      <c r="GV1304" s="4"/>
      <c r="GW1304" s="4"/>
      <c r="GX1304" s="4"/>
      <c r="GY1304" s="4"/>
      <c r="GZ1304" s="4"/>
      <c r="HA1304" s="4"/>
      <c r="HF1304" s="171"/>
      <c r="HG1304" s="134"/>
      <c r="IU1304" s="359">
        <v>14.72</v>
      </c>
      <c r="IV1304" s="123">
        <f>14.72*1.045</f>
        <v>15.38</v>
      </c>
    </row>
    <row r="1305" spans="1:256" ht="33" customHeight="1" x14ac:dyDescent="0.2">
      <c r="A1305" s="404" t="s">
        <v>1487</v>
      </c>
      <c r="B1305" s="397" t="s">
        <v>1488</v>
      </c>
      <c r="C1305" s="379" t="s">
        <v>1385</v>
      </c>
      <c r="D1305" s="389">
        <f>16*1.04*1.04*1.055*1.05</f>
        <v>19.170000000000002</v>
      </c>
      <c r="E1305" s="14">
        <f t="shared" si="119"/>
        <v>3.83</v>
      </c>
      <c r="F1305" s="97">
        <f t="shared" si="120"/>
        <v>23</v>
      </c>
      <c r="EH1305" s="3"/>
      <c r="GS1305" s="2"/>
      <c r="GT1305" s="4"/>
      <c r="GU1305" s="4"/>
      <c r="GV1305" s="4"/>
      <c r="GW1305" s="4"/>
      <c r="GX1305" s="4"/>
      <c r="GY1305" s="4"/>
      <c r="GZ1305" s="4"/>
      <c r="HA1305" s="4"/>
      <c r="HF1305" s="171"/>
      <c r="HG1305" s="134"/>
      <c r="IU1305" s="359">
        <v>14.72</v>
      </c>
      <c r="IV1305" s="123">
        <f>14.72*1.045</f>
        <v>15.38</v>
      </c>
    </row>
    <row r="1306" spans="1:256" ht="18.75" customHeight="1" x14ac:dyDescent="0.2">
      <c r="A1306" s="404" t="s">
        <v>1489</v>
      </c>
      <c r="B1306" s="430" t="s">
        <v>1490</v>
      </c>
      <c r="C1306" s="430"/>
      <c r="D1306" s="430"/>
      <c r="E1306" s="430"/>
      <c r="F1306" s="430"/>
      <c r="EH1306" s="3"/>
      <c r="GS1306" s="2"/>
      <c r="GT1306" s="4"/>
      <c r="GU1306" s="4"/>
      <c r="GV1306" s="4"/>
      <c r="GW1306" s="4"/>
      <c r="GX1306" s="4"/>
      <c r="GY1306" s="4"/>
      <c r="GZ1306" s="4"/>
      <c r="HA1306" s="4"/>
      <c r="HG1306" s="134"/>
    </row>
    <row r="1307" spans="1:256" ht="15.75" x14ac:dyDescent="0.2">
      <c r="A1307" s="404" t="s">
        <v>1491</v>
      </c>
      <c r="B1307" s="381" t="s">
        <v>1436</v>
      </c>
      <c r="C1307" s="379" t="s">
        <v>116</v>
      </c>
      <c r="D1307" s="389">
        <f>1.6*1.04*1.04*1.055*1.05</f>
        <v>1.92</v>
      </c>
      <c r="E1307" s="14">
        <f>D1307*20%</f>
        <v>0.38</v>
      </c>
      <c r="F1307" s="97">
        <f>D1307+E1307</f>
        <v>2.2999999999999998</v>
      </c>
      <c r="EH1307" s="3"/>
      <c r="GS1307" s="2"/>
      <c r="GT1307" s="4"/>
      <c r="GU1307" s="4"/>
      <c r="GV1307" s="4"/>
      <c r="GW1307" s="4"/>
      <c r="GX1307" s="4"/>
      <c r="GY1307" s="4"/>
      <c r="GZ1307" s="4"/>
      <c r="HA1307" s="4"/>
      <c r="HF1307" s="171"/>
      <c r="HG1307" s="134"/>
      <c r="IU1307" s="359">
        <v>1.47</v>
      </c>
      <c r="IV1307" s="123">
        <f>1.47*1.045</f>
        <v>1.54</v>
      </c>
    </row>
    <row r="1308" spans="1:256" ht="15.75" x14ac:dyDescent="0.2">
      <c r="A1308" s="404" t="s">
        <v>1492</v>
      </c>
      <c r="B1308" s="381" t="s">
        <v>1469</v>
      </c>
      <c r="C1308" s="379" t="s">
        <v>1385</v>
      </c>
      <c r="D1308" s="389">
        <f>16*1.04*1.04*1.055*1.05</f>
        <v>19.170000000000002</v>
      </c>
      <c r="E1308" s="14">
        <f>D1308*20%</f>
        <v>3.83</v>
      </c>
      <c r="F1308" s="97">
        <f>D1308+E1308</f>
        <v>23</v>
      </c>
      <c r="EH1308" s="3"/>
      <c r="GS1308" s="2"/>
      <c r="GT1308" s="4"/>
      <c r="GU1308" s="4"/>
      <c r="GV1308" s="4"/>
      <c r="GW1308" s="4"/>
      <c r="GX1308" s="4"/>
      <c r="GY1308" s="4"/>
      <c r="GZ1308" s="4"/>
      <c r="HA1308" s="4"/>
      <c r="HF1308" s="171"/>
      <c r="HG1308" s="134"/>
      <c r="IU1308" s="359">
        <v>14.72</v>
      </c>
      <c r="IV1308" s="123">
        <f>14.72*1.045</f>
        <v>15.38</v>
      </c>
    </row>
    <row r="1309" spans="1:256" ht="52.5" customHeight="1" x14ac:dyDescent="0.2">
      <c r="A1309" s="108" t="s">
        <v>29</v>
      </c>
      <c r="B1309" s="437" t="s">
        <v>2002</v>
      </c>
      <c r="C1309" s="437"/>
      <c r="D1309" s="437"/>
      <c r="E1309" s="437"/>
      <c r="F1309" s="437"/>
      <c r="EH1309" s="3"/>
      <c r="GS1309" s="2"/>
      <c r="GT1309" s="4"/>
      <c r="GU1309" s="4"/>
      <c r="GV1309" s="4"/>
      <c r="GW1309" s="4"/>
      <c r="GX1309" s="4"/>
      <c r="GY1309" s="4"/>
      <c r="GZ1309" s="4"/>
      <c r="HA1309" s="4"/>
      <c r="HG1309" s="134"/>
    </row>
    <row r="1310" spans="1:256" ht="33" customHeight="1" x14ac:dyDescent="0.2">
      <c r="A1310" s="404" t="s">
        <v>578</v>
      </c>
      <c r="B1310" s="397" t="s">
        <v>1494</v>
      </c>
      <c r="C1310" s="379" t="s">
        <v>1385</v>
      </c>
      <c r="D1310" s="389">
        <f>39.62*1.04*1.04*1.055*1.05</f>
        <v>47.47</v>
      </c>
      <c r="E1310" s="14">
        <f t="shared" ref="E1310:E1321" si="121">D1310*20%</f>
        <v>9.49</v>
      </c>
      <c r="F1310" s="97">
        <f t="shared" ref="F1310:F1321" si="122">D1310+E1310</f>
        <v>56.96</v>
      </c>
      <c r="EH1310" s="3"/>
      <c r="GS1310" s="2"/>
      <c r="GT1310" s="4"/>
      <c r="GU1310" s="4"/>
      <c r="GV1310" s="4"/>
      <c r="GW1310" s="4"/>
      <c r="GX1310" s="4"/>
      <c r="GY1310" s="4"/>
      <c r="GZ1310" s="4"/>
      <c r="HA1310" s="4"/>
      <c r="HF1310" s="171"/>
      <c r="HG1310" s="134"/>
      <c r="IU1310" s="359">
        <v>36.46</v>
      </c>
      <c r="IV1310" s="123">
        <f>36.46*1.045</f>
        <v>38.1</v>
      </c>
    </row>
    <row r="1311" spans="1:256" ht="21.75" customHeight="1" x14ac:dyDescent="0.2">
      <c r="A1311" s="404" t="s">
        <v>580</v>
      </c>
      <c r="B1311" s="397" t="s">
        <v>1495</v>
      </c>
      <c r="C1311" s="379" t="s">
        <v>1385</v>
      </c>
      <c r="D1311" s="389">
        <f>7.87*1.04*1.04*1.055*1.05</f>
        <v>9.43</v>
      </c>
      <c r="E1311" s="14">
        <f t="shared" si="121"/>
        <v>1.89</v>
      </c>
      <c r="F1311" s="97">
        <f t="shared" si="122"/>
        <v>11.32</v>
      </c>
      <c r="EH1311" s="3"/>
      <c r="GS1311" s="2"/>
      <c r="GT1311" s="4"/>
      <c r="GU1311" s="4"/>
      <c r="GV1311" s="4"/>
      <c r="GW1311" s="4"/>
      <c r="GX1311" s="4"/>
      <c r="GY1311" s="4"/>
      <c r="GZ1311" s="4"/>
      <c r="HA1311" s="4"/>
      <c r="HF1311" s="171"/>
      <c r="HG1311" s="134"/>
      <c r="IU1311" s="359">
        <v>7.24</v>
      </c>
      <c r="IV1311" s="123">
        <f>7.24*1.045</f>
        <v>7.57</v>
      </c>
    </row>
    <row r="1312" spans="1:256" ht="34.5" customHeight="1" x14ac:dyDescent="0.2">
      <c r="A1312" s="404" t="s">
        <v>582</v>
      </c>
      <c r="B1312" s="178" t="s">
        <v>1496</v>
      </c>
      <c r="C1312" s="379" t="s">
        <v>1385</v>
      </c>
      <c r="D1312" s="389">
        <f>21.25*1.04*1.04*1.055*1.05</f>
        <v>25.46</v>
      </c>
      <c r="E1312" s="14">
        <f t="shared" si="121"/>
        <v>5.09</v>
      </c>
      <c r="F1312" s="97">
        <f t="shared" si="122"/>
        <v>30.55</v>
      </c>
      <c r="EH1312" s="3"/>
      <c r="GS1312" s="2"/>
      <c r="GT1312" s="4"/>
      <c r="GU1312" s="4"/>
      <c r="GV1312" s="4"/>
      <c r="GW1312" s="4"/>
      <c r="GX1312" s="4"/>
      <c r="GY1312" s="4"/>
      <c r="GZ1312" s="4"/>
      <c r="HA1312" s="4"/>
      <c r="HF1312" s="171"/>
      <c r="HG1312" s="134"/>
      <c r="IU1312" s="359">
        <v>19.55</v>
      </c>
      <c r="IV1312" s="123">
        <f>19.55*1.045</f>
        <v>20.43</v>
      </c>
    </row>
    <row r="1313" spans="1:256" ht="15.75" x14ac:dyDescent="0.2">
      <c r="A1313" s="404" t="s">
        <v>584</v>
      </c>
      <c r="B1313" s="178" t="s">
        <v>1497</v>
      </c>
      <c r="C1313" s="379" t="s">
        <v>1385</v>
      </c>
      <c r="D1313" s="389">
        <f>18.38*1.04*1.04*1.055*1.05</f>
        <v>22.02</v>
      </c>
      <c r="E1313" s="14">
        <f t="shared" si="121"/>
        <v>4.4000000000000004</v>
      </c>
      <c r="F1313" s="97">
        <f t="shared" si="122"/>
        <v>26.42</v>
      </c>
      <c r="EH1313" s="3"/>
      <c r="GS1313" s="2"/>
      <c r="GT1313" s="4"/>
      <c r="GU1313" s="4"/>
      <c r="GV1313" s="4"/>
      <c r="GW1313" s="4"/>
      <c r="GX1313" s="4"/>
      <c r="GY1313" s="4"/>
      <c r="GZ1313" s="4"/>
      <c r="HA1313" s="4"/>
      <c r="HF1313" s="171"/>
      <c r="HG1313" s="134"/>
      <c r="IU1313" s="359">
        <v>16.91</v>
      </c>
      <c r="IV1313" s="123">
        <f>16.91*1.045</f>
        <v>17.670000000000002</v>
      </c>
    </row>
    <row r="1314" spans="1:256" ht="15.75" x14ac:dyDescent="0.2">
      <c r="A1314" s="404" t="s">
        <v>586</v>
      </c>
      <c r="B1314" s="178" t="s">
        <v>1498</v>
      </c>
      <c r="C1314" s="379" t="s">
        <v>1385</v>
      </c>
      <c r="D1314" s="389">
        <f>24.1*1.04*1.04*1.055*1.05</f>
        <v>28.88</v>
      </c>
      <c r="E1314" s="14">
        <f t="shared" si="121"/>
        <v>5.78</v>
      </c>
      <c r="F1314" s="97">
        <f t="shared" si="122"/>
        <v>34.659999999999997</v>
      </c>
      <c r="EH1314" s="3"/>
      <c r="GS1314" s="2"/>
      <c r="GT1314" s="4"/>
      <c r="GU1314" s="4"/>
      <c r="GV1314" s="4"/>
      <c r="GW1314" s="4"/>
      <c r="GX1314" s="4"/>
      <c r="GY1314" s="4"/>
      <c r="GZ1314" s="4"/>
      <c r="HA1314" s="4"/>
      <c r="HF1314" s="171"/>
      <c r="HG1314" s="134"/>
      <c r="IU1314" s="359">
        <v>22.17</v>
      </c>
      <c r="IV1314" s="123">
        <f>22.17*1.045</f>
        <v>23.17</v>
      </c>
    </row>
    <row r="1315" spans="1:256" ht="15.75" x14ac:dyDescent="0.2">
      <c r="A1315" s="404" t="s">
        <v>588</v>
      </c>
      <c r="B1315" s="178" t="s">
        <v>1499</v>
      </c>
      <c r="C1315" s="379" t="s">
        <v>1385</v>
      </c>
      <c r="D1315" s="389">
        <f>39.62*1.04*1.04*1.055*1.05</f>
        <v>47.47</v>
      </c>
      <c r="E1315" s="14">
        <f t="shared" si="121"/>
        <v>9.49</v>
      </c>
      <c r="F1315" s="97">
        <f t="shared" si="122"/>
        <v>56.96</v>
      </c>
      <c r="EH1315" s="3"/>
      <c r="GS1315" s="2"/>
      <c r="GT1315" s="4"/>
      <c r="GU1315" s="4"/>
      <c r="GV1315" s="4"/>
      <c r="GW1315" s="4"/>
      <c r="GX1315" s="4"/>
      <c r="GY1315" s="4"/>
      <c r="GZ1315" s="4"/>
      <c r="HA1315" s="4"/>
      <c r="HF1315" s="171"/>
      <c r="HG1315" s="134"/>
      <c r="IU1315" s="359">
        <v>36.46</v>
      </c>
      <c r="IV1315" s="123">
        <f>36.46*1.045</f>
        <v>38.1</v>
      </c>
    </row>
    <row r="1316" spans="1:256" ht="15.75" x14ac:dyDescent="0.2">
      <c r="A1316" s="404" t="s">
        <v>590</v>
      </c>
      <c r="B1316" s="178" t="s">
        <v>1500</v>
      </c>
      <c r="C1316" s="379" t="s">
        <v>1385</v>
      </c>
      <c r="D1316" s="389">
        <f>90.95*1.04*1.04*1.055*1.05</f>
        <v>108.97</v>
      </c>
      <c r="E1316" s="14">
        <f t="shared" si="121"/>
        <v>21.79</v>
      </c>
      <c r="F1316" s="97">
        <f t="shared" si="122"/>
        <v>130.76</v>
      </c>
      <c r="EH1316" s="3"/>
      <c r="GS1316" s="2"/>
      <c r="GT1316" s="4"/>
      <c r="GU1316" s="4"/>
      <c r="GV1316" s="4"/>
      <c r="GW1316" s="4"/>
      <c r="GX1316" s="4"/>
      <c r="GY1316" s="4"/>
      <c r="GZ1316" s="4"/>
      <c r="HA1316" s="4"/>
      <c r="HF1316" s="171"/>
      <c r="HG1316" s="134"/>
      <c r="IU1316" s="359">
        <v>83.68</v>
      </c>
      <c r="IV1316" s="123">
        <f>83.68*1.045</f>
        <v>87.45</v>
      </c>
    </row>
    <row r="1317" spans="1:256" ht="15.75" x14ac:dyDescent="0.2">
      <c r="A1317" s="404" t="s">
        <v>592</v>
      </c>
      <c r="B1317" s="178" t="s">
        <v>1501</v>
      </c>
      <c r="C1317" s="379" t="s">
        <v>1385</v>
      </c>
      <c r="D1317" s="389">
        <f>121.25*1.04*1.04*1.055*1.05</f>
        <v>145.27000000000001</v>
      </c>
      <c r="E1317" s="14">
        <f t="shared" si="121"/>
        <v>29.05</v>
      </c>
      <c r="F1317" s="97">
        <f>D1317+E1317</f>
        <v>174.32</v>
      </c>
      <c r="EH1317" s="3"/>
      <c r="GS1317" s="2"/>
      <c r="GT1317" s="4"/>
      <c r="GU1317" s="4"/>
      <c r="GV1317" s="4"/>
      <c r="GW1317" s="4"/>
      <c r="GX1317" s="4"/>
      <c r="GY1317" s="4"/>
      <c r="GZ1317" s="4"/>
      <c r="HA1317" s="4"/>
      <c r="HF1317" s="171"/>
      <c r="HG1317" s="134"/>
      <c r="IU1317" s="359">
        <v>111.57</v>
      </c>
      <c r="IV1317" s="123">
        <f>111.57*1.045</f>
        <v>116.59</v>
      </c>
    </row>
    <row r="1318" spans="1:256" ht="15.75" x14ac:dyDescent="0.2">
      <c r="A1318" s="404" t="s">
        <v>594</v>
      </c>
      <c r="B1318" s="178" t="s">
        <v>1502</v>
      </c>
      <c r="C1318" s="379" t="s">
        <v>1385</v>
      </c>
      <c r="D1318" s="389">
        <f>10.75*1.04*1.04*1.055*1.05</f>
        <v>12.88</v>
      </c>
      <c r="E1318" s="14">
        <f t="shared" si="121"/>
        <v>2.58</v>
      </c>
      <c r="F1318" s="97">
        <f t="shared" si="122"/>
        <v>15.46</v>
      </c>
      <c r="EH1318" s="3"/>
      <c r="GS1318" s="2"/>
      <c r="GT1318" s="4"/>
      <c r="GU1318" s="4"/>
      <c r="GV1318" s="4"/>
      <c r="GW1318" s="4"/>
      <c r="GX1318" s="4"/>
      <c r="GY1318" s="4"/>
      <c r="GZ1318" s="4"/>
      <c r="HA1318" s="4"/>
      <c r="HF1318" s="171"/>
      <c r="HG1318" s="134"/>
      <c r="IU1318" s="359">
        <v>9.89</v>
      </c>
      <c r="IV1318" s="123">
        <f>9.89*1.045</f>
        <v>10.34</v>
      </c>
    </row>
    <row r="1319" spans="1:256" ht="52.5" customHeight="1" x14ac:dyDescent="0.2">
      <c r="A1319" s="404" t="s">
        <v>596</v>
      </c>
      <c r="B1319" s="178" t="s">
        <v>1503</v>
      </c>
      <c r="C1319" s="379" t="s">
        <v>1385</v>
      </c>
      <c r="D1319" s="389">
        <f>10.75*1.04*1.04*1.055*1.05</f>
        <v>12.88</v>
      </c>
      <c r="E1319" s="14">
        <f t="shared" si="121"/>
        <v>2.58</v>
      </c>
      <c r="F1319" s="97">
        <f t="shared" si="122"/>
        <v>15.46</v>
      </c>
      <c r="EH1319" s="3"/>
      <c r="GS1319" s="2"/>
      <c r="GT1319" s="4"/>
      <c r="GU1319" s="4"/>
      <c r="GV1319" s="4"/>
      <c r="GW1319" s="4"/>
      <c r="GX1319" s="4"/>
      <c r="GY1319" s="4"/>
      <c r="GZ1319" s="4"/>
      <c r="HA1319" s="4"/>
      <c r="HF1319" s="171"/>
      <c r="HG1319" s="134"/>
      <c r="IU1319" s="359">
        <v>9.89</v>
      </c>
      <c r="IV1319" s="123">
        <f>9.89*1.045</f>
        <v>10.34</v>
      </c>
    </row>
    <row r="1320" spans="1:256" ht="33.75" customHeight="1" x14ac:dyDescent="0.2">
      <c r="A1320" s="404" t="s">
        <v>598</v>
      </c>
      <c r="B1320" s="178" t="s">
        <v>1504</v>
      </c>
      <c r="C1320" s="379" t="s">
        <v>1385</v>
      </c>
      <c r="D1320" s="389">
        <f>17.66*1.04*1.04*1.055*1.05</f>
        <v>21.16</v>
      </c>
      <c r="E1320" s="14">
        <f t="shared" si="121"/>
        <v>4.2300000000000004</v>
      </c>
      <c r="F1320" s="97">
        <f t="shared" si="122"/>
        <v>25.39</v>
      </c>
      <c r="EH1320" s="3"/>
      <c r="GS1320" s="2"/>
      <c r="GT1320" s="4"/>
      <c r="GU1320" s="4"/>
      <c r="GV1320" s="4"/>
      <c r="GW1320" s="4"/>
      <c r="GX1320" s="4"/>
      <c r="GY1320" s="4"/>
      <c r="GZ1320" s="4"/>
      <c r="HA1320" s="4"/>
      <c r="HF1320" s="171"/>
      <c r="HG1320" s="134"/>
      <c r="IU1320" s="359">
        <v>16.25</v>
      </c>
      <c r="IV1320" s="123">
        <f>16.25*1.045</f>
        <v>16.98</v>
      </c>
    </row>
    <row r="1321" spans="1:256" ht="34.5" customHeight="1" x14ac:dyDescent="0.2">
      <c r="A1321" s="404" t="s">
        <v>600</v>
      </c>
      <c r="B1321" s="178" t="s">
        <v>1505</v>
      </c>
      <c r="C1321" s="379" t="s">
        <v>1385</v>
      </c>
      <c r="D1321" s="389">
        <f>10.75*1.04*1.04*1.055*1.05</f>
        <v>12.88</v>
      </c>
      <c r="E1321" s="14">
        <f t="shared" si="121"/>
        <v>2.58</v>
      </c>
      <c r="F1321" s="97">
        <f t="shared" si="122"/>
        <v>15.46</v>
      </c>
      <c r="EH1321" s="3"/>
      <c r="GS1321" s="2"/>
      <c r="GT1321" s="4"/>
      <c r="GU1321" s="4"/>
      <c r="GV1321" s="4"/>
      <c r="GW1321" s="4"/>
      <c r="GX1321" s="4"/>
      <c r="GY1321" s="4"/>
      <c r="GZ1321" s="4"/>
      <c r="HA1321" s="4"/>
      <c r="HF1321" s="171"/>
      <c r="HG1321" s="134"/>
      <c r="IU1321" s="359">
        <v>9.89</v>
      </c>
      <c r="IV1321" s="123">
        <f>9.89*1.045</f>
        <v>10.34</v>
      </c>
    </row>
    <row r="1322" spans="1:256" s="39" customFormat="1" ht="19.5" customHeight="1" x14ac:dyDescent="0.2">
      <c r="A1322" s="404" t="s">
        <v>602</v>
      </c>
      <c r="B1322" s="430" t="s">
        <v>1506</v>
      </c>
      <c r="C1322" s="430"/>
      <c r="D1322" s="430"/>
      <c r="E1322" s="430"/>
      <c r="F1322" s="430"/>
      <c r="G1322" s="3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EH1322" s="3"/>
      <c r="GS1322" s="2"/>
      <c r="GT1322" s="4"/>
      <c r="GU1322" s="4"/>
      <c r="GV1322" s="4"/>
      <c r="GW1322" s="4"/>
      <c r="GX1322" s="4"/>
      <c r="GY1322" s="4"/>
      <c r="GZ1322" s="4"/>
      <c r="HA1322" s="4"/>
      <c r="HG1322" s="182"/>
    </row>
    <row r="1323" spans="1:256" s="39" customFormat="1" ht="15.75" x14ac:dyDescent="0.2">
      <c r="A1323" s="404" t="s">
        <v>1507</v>
      </c>
      <c r="B1323" s="381" t="s">
        <v>1508</v>
      </c>
      <c r="C1323" s="379" t="s">
        <v>1509</v>
      </c>
      <c r="D1323" s="389">
        <f>7.16*1.04*1.04*1.05</f>
        <v>8.1300000000000008</v>
      </c>
      <c r="E1323" s="14">
        <f t="shared" ref="E1323:E1334" si="123">D1323*20%</f>
        <v>1.63</v>
      </c>
      <c r="F1323" s="97">
        <f t="shared" ref="F1323:F1334" si="124">D1323+E1323</f>
        <v>9.76</v>
      </c>
      <c r="G1323" s="3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EH1323" s="3"/>
      <c r="GS1323" s="2"/>
      <c r="GT1323" s="4"/>
      <c r="GU1323" s="4"/>
      <c r="GV1323" s="4"/>
      <c r="GW1323" s="4"/>
      <c r="GX1323" s="4"/>
      <c r="GY1323" s="4"/>
      <c r="GZ1323" s="4"/>
      <c r="HA1323" s="4"/>
      <c r="HF1323" s="364"/>
      <c r="HG1323" s="182"/>
      <c r="IU1323" s="364">
        <v>6.58</v>
      </c>
      <c r="IV1323" s="362">
        <f>6.58*1.045</f>
        <v>6.88</v>
      </c>
    </row>
    <row r="1324" spans="1:256" s="39" customFormat="1" ht="15.75" x14ac:dyDescent="0.2">
      <c r="A1324" s="404" t="s">
        <v>1510</v>
      </c>
      <c r="B1324" s="381" t="s">
        <v>1511</v>
      </c>
      <c r="C1324" s="379" t="s">
        <v>1509</v>
      </c>
      <c r="D1324" s="389">
        <f>7.87*1.04*1.04*1.05</f>
        <v>8.94</v>
      </c>
      <c r="E1324" s="14">
        <f t="shared" si="123"/>
        <v>1.79</v>
      </c>
      <c r="F1324" s="97">
        <f t="shared" si="124"/>
        <v>10.73</v>
      </c>
      <c r="G1324" s="3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EH1324" s="3"/>
      <c r="GS1324" s="2"/>
      <c r="GT1324" s="4"/>
      <c r="GU1324" s="4"/>
      <c r="GV1324" s="4"/>
      <c r="GW1324" s="4"/>
      <c r="GX1324" s="4"/>
      <c r="GY1324" s="4"/>
      <c r="GZ1324" s="4"/>
      <c r="HA1324" s="4"/>
      <c r="HF1324" s="364"/>
      <c r="HG1324" s="182"/>
      <c r="IU1324" s="364">
        <v>7.24</v>
      </c>
      <c r="IV1324" s="362">
        <f>7.24*1.045</f>
        <v>7.57</v>
      </c>
    </row>
    <row r="1325" spans="1:256" s="39" customFormat="1" ht="15.75" x14ac:dyDescent="0.2">
      <c r="A1325" s="404" t="s">
        <v>1512</v>
      </c>
      <c r="B1325" s="381" t="s">
        <v>1513</v>
      </c>
      <c r="C1325" s="379" t="s">
        <v>1509</v>
      </c>
      <c r="D1325" s="389">
        <f>9.32*1.04*1.04*1.05</f>
        <v>10.58</v>
      </c>
      <c r="E1325" s="14">
        <f t="shared" si="123"/>
        <v>2.12</v>
      </c>
      <c r="F1325" s="97">
        <f t="shared" si="124"/>
        <v>12.7</v>
      </c>
      <c r="G1325" s="3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EH1325" s="3"/>
      <c r="GS1325" s="2"/>
      <c r="GT1325" s="4"/>
      <c r="GU1325" s="4"/>
      <c r="GV1325" s="4"/>
      <c r="GW1325" s="4"/>
      <c r="GX1325" s="4"/>
      <c r="GY1325" s="4"/>
      <c r="GZ1325" s="4"/>
      <c r="HA1325" s="4"/>
      <c r="HF1325" s="364"/>
      <c r="HG1325" s="182"/>
      <c r="IU1325" s="364">
        <v>8.57</v>
      </c>
      <c r="IV1325" s="362">
        <f>8.57*1.045</f>
        <v>8.9600000000000009</v>
      </c>
    </row>
    <row r="1326" spans="1:256" s="39" customFormat="1" ht="15.75" x14ac:dyDescent="0.2">
      <c r="A1326" s="404" t="s">
        <v>1514</v>
      </c>
      <c r="B1326" s="381" t="s">
        <v>1515</v>
      </c>
      <c r="C1326" s="379" t="s">
        <v>1509</v>
      </c>
      <c r="D1326" s="389">
        <f>10.04*1.04*1.04*1.05</f>
        <v>11.4</v>
      </c>
      <c r="E1326" s="14">
        <f t="shared" si="123"/>
        <v>2.2799999999999998</v>
      </c>
      <c r="F1326" s="97">
        <f t="shared" si="124"/>
        <v>13.68</v>
      </c>
      <c r="G1326" s="3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EH1326" s="3"/>
      <c r="GS1326" s="2"/>
      <c r="GT1326" s="4"/>
      <c r="GU1326" s="4"/>
      <c r="GV1326" s="4"/>
      <c r="GW1326" s="4"/>
      <c r="GX1326" s="4"/>
      <c r="GY1326" s="4"/>
      <c r="GZ1326" s="4"/>
      <c r="HA1326" s="4"/>
      <c r="HF1326" s="364"/>
      <c r="HG1326" s="182"/>
      <c r="IU1326" s="364">
        <v>9.23</v>
      </c>
      <c r="IV1326" s="362">
        <f>9.23*1.045</f>
        <v>9.65</v>
      </c>
    </row>
    <row r="1327" spans="1:256" s="39" customFormat="1" ht="15.75" x14ac:dyDescent="0.2">
      <c r="A1327" s="404" t="s">
        <v>1516</v>
      </c>
      <c r="B1327" s="381" t="s">
        <v>1517</v>
      </c>
      <c r="C1327" s="379" t="s">
        <v>1509</v>
      </c>
      <c r="D1327" s="389">
        <f>10.75*1.04*1.04*1.05</f>
        <v>12.21</v>
      </c>
      <c r="E1327" s="14">
        <f t="shared" si="123"/>
        <v>2.44</v>
      </c>
      <c r="F1327" s="97">
        <f t="shared" si="124"/>
        <v>14.65</v>
      </c>
      <c r="G1327" s="3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EH1327" s="3"/>
      <c r="GS1327" s="2"/>
      <c r="GT1327" s="4"/>
      <c r="GU1327" s="4"/>
      <c r="GV1327" s="4"/>
      <c r="GW1327" s="4"/>
      <c r="GX1327" s="4"/>
      <c r="GY1327" s="4"/>
      <c r="GZ1327" s="4"/>
      <c r="HA1327" s="4"/>
      <c r="HF1327" s="364"/>
      <c r="HG1327" s="182"/>
      <c r="IU1327" s="364">
        <v>9.89</v>
      </c>
      <c r="IV1327" s="362">
        <f>9.89*1.045</f>
        <v>10.34</v>
      </c>
    </row>
    <row r="1328" spans="1:256" s="39" customFormat="1" ht="15.75" x14ac:dyDescent="0.2">
      <c r="A1328" s="404" t="s">
        <v>604</v>
      </c>
      <c r="B1328" s="381" t="s">
        <v>1518</v>
      </c>
      <c r="C1328" s="379" t="s">
        <v>1509</v>
      </c>
      <c r="D1328" s="389">
        <f>2.38*1.04*1.04*1.05</f>
        <v>2.7</v>
      </c>
      <c r="E1328" s="14">
        <f t="shared" si="123"/>
        <v>0.54</v>
      </c>
      <c r="F1328" s="97">
        <f t="shared" si="124"/>
        <v>3.24</v>
      </c>
      <c r="G1328" s="3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EH1328" s="3"/>
      <c r="GS1328" s="2"/>
      <c r="GT1328" s="4"/>
      <c r="GU1328" s="4"/>
      <c r="GV1328" s="4"/>
      <c r="GW1328" s="4"/>
      <c r="GX1328" s="4"/>
      <c r="GY1328" s="4"/>
      <c r="GZ1328" s="4"/>
      <c r="HA1328" s="4"/>
      <c r="HF1328" s="364"/>
      <c r="HG1328" s="182"/>
      <c r="IU1328" s="364">
        <v>2.19</v>
      </c>
      <c r="IV1328" s="362">
        <f>2.19*1.045</f>
        <v>2.29</v>
      </c>
    </row>
    <row r="1329" spans="1:256" s="39" customFormat="1" ht="51" customHeight="1" x14ac:dyDescent="0.2">
      <c r="A1329" s="404" t="s">
        <v>606</v>
      </c>
      <c r="B1329" s="397" t="s">
        <v>1519</v>
      </c>
      <c r="C1329" s="379" t="s">
        <v>116</v>
      </c>
      <c r="D1329" s="389">
        <f>167.1*1.04*1.04*1.05</f>
        <v>189.77</v>
      </c>
      <c r="E1329" s="14">
        <f t="shared" si="123"/>
        <v>37.950000000000003</v>
      </c>
      <c r="F1329" s="97">
        <f t="shared" si="124"/>
        <v>227.72</v>
      </c>
      <c r="G1329" s="3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EH1329" s="3"/>
      <c r="GS1329" s="2"/>
      <c r="GT1329" s="4"/>
      <c r="GU1329" s="4"/>
      <c r="GV1329" s="4"/>
      <c r="GW1329" s="4"/>
      <c r="GX1329" s="4"/>
      <c r="GY1329" s="4"/>
      <c r="GZ1329" s="4"/>
      <c r="HA1329" s="4"/>
      <c r="HF1329" s="364"/>
      <c r="HG1329" s="182"/>
      <c r="IU1329" s="364">
        <v>153.75</v>
      </c>
      <c r="IV1329" s="362">
        <f>153.75*1.045</f>
        <v>160.66999999999999</v>
      </c>
    </row>
    <row r="1330" spans="1:256" s="39" customFormat="1" ht="26.25" customHeight="1" x14ac:dyDescent="0.2">
      <c r="A1330" s="404" t="s">
        <v>607</v>
      </c>
      <c r="B1330" s="390" t="s">
        <v>1520</v>
      </c>
      <c r="C1330" s="379" t="s">
        <v>1385</v>
      </c>
      <c r="D1330" s="389">
        <f>12.17*1.04*1.04*1.05</f>
        <v>13.82</v>
      </c>
      <c r="E1330" s="14">
        <f t="shared" si="123"/>
        <v>2.76</v>
      </c>
      <c r="F1330" s="97">
        <f t="shared" si="124"/>
        <v>16.579999999999998</v>
      </c>
      <c r="G1330" s="3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EH1330" s="3"/>
      <c r="GS1330" s="2"/>
      <c r="GT1330" s="4"/>
      <c r="GU1330" s="4"/>
      <c r="GV1330" s="4"/>
      <c r="GW1330" s="4"/>
      <c r="GX1330" s="4"/>
      <c r="GY1330" s="4"/>
      <c r="GZ1330" s="4"/>
      <c r="HA1330" s="4"/>
      <c r="HF1330" s="364"/>
      <c r="HG1330" s="182"/>
      <c r="IU1330" s="364">
        <v>11.2</v>
      </c>
      <c r="IV1330" s="362">
        <f>11.2*1.045</f>
        <v>11.7</v>
      </c>
    </row>
    <row r="1331" spans="1:256" s="39" customFormat="1" ht="18.75" customHeight="1" x14ac:dyDescent="0.2">
      <c r="A1331" s="404" t="s">
        <v>609</v>
      </c>
      <c r="B1331" s="178" t="s">
        <v>1521</v>
      </c>
      <c r="C1331" s="379" t="s">
        <v>1385</v>
      </c>
      <c r="D1331" s="389">
        <f>22.92*1.04*1.04*1.055*1.05</f>
        <v>27.46</v>
      </c>
      <c r="E1331" s="14">
        <f t="shared" si="123"/>
        <v>5.49</v>
      </c>
      <c r="F1331" s="97">
        <f t="shared" si="124"/>
        <v>32.950000000000003</v>
      </c>
      <c r="G1331" s="3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EH1331" s="3"/>
      <c r="GS1331" s="2"/>
      <c r="GT1331" s="4"/>
      <c r="GU1331" s="4"/>
      <c r="GV1331" s="4"/>
      <c r="GW1331" s="4"/>
      <c r="GX1331" s="4"/>
      <c r="GY1331" s="4"/>
      <c r="GZ1331" s="4"/>
      <c r="HA1331" s="4"/>
      <c r="HF1331" s="364"/>
      <c r="HG1331" s="182"/>
      <c r="IU1331" s="364">
        <v>21.09</v>
      </c>
      <c r="IV1331" s="362">
        <f>21.09*1.045</f>
        <v>22.04</v>
      </c>
    </row>
    <row r="1332" spans="1:256" s="39" customFormat="1" ht="16.5" customHeight="1" x14ac:dyDescent="0.2">
      <c r="A1332" s="404" t="s">
        <v>611</v>
      </c>
      <c r="B1332" s="178" t="s">
        <v>1522</v>
      </c>
      <c r="C1332" s="379" t="s">
        <v>1385</v>
      </c>
      <c r="D1332" s="389">
        <f>22.92*1.04*1.04*1.055*1.05</f>
        <v>27.46</v>
      </c>
      <c r="E1332" s="14">
        <f t="shared" si="123"/>
        <v>5.49</v>
      </c>
      <c r="F1332" s="97">
        <f t="shared" si="124"/>
        <v>32.950000000000003</v>
      </c>
      <c r="G1332" s="3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EH1332" s="3"/>
      <c r="GS1332" s="2"/>
      <c r="GT1332" s="4"/>
      <c r="GU1332" s="4"/>
      <c r="GV1332" s="4"/>
      <c r="GW1332" s="4"/>
      <c r="GX1332" s="4"/>
      <c r="GY1332" s="4"/>
      <c r="GZ1332" s="4"/>
      <c r="HA1332" s="4"/>
      <c r="HF1332" s="361"/>
      <c r="HG1332" s="182"/>
      <c r="IU1332" s="361">
        <v>21.09</v>
      </c>
      <c r="IV1332" s="362">
        <f>21.09*1.045</f>
        <v>22.04</v>
      </c>
    </row>
    <row r="1333" spans="1:256" s="39" customFormat="1" ht="18" customHeight="1" x14ac:dyDescent="0.2">
      <c r="A1333" s="404" t="s">
        <v>613</v>
      </c>
      <c r="B1333" s="178" t="s">
        <v>1523</v>
      </c>
      <c r="C1333" s="379" t="s">
        <v>1385</v>
      </c>
      <c r="D1333" s="389">
        <f>22.92*1.04*1.04*1.055*1.05</f>
        <v>27.46</v>
      </c>
      <c r="E1333" s="14">
        <f t="shared" si="123"/>
        <v>5.49</v>
      </c>
      <c r="F1333" s="97">
        <f t="shared" si="124"/>
        <v>32.950000000000003</v>
      </c>
      <c r="G1333" s="3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EH1333" s="3"/>
      <c r="GS1333" s="2"/>
      <c r="GT1333" s="4"/>
      <c r="GU1333" s="4"/>
      <c r="GV1333" s="4"/>
      <c r="GW1333" s="4"/>
      <c r="GX1333" s="4"/>
      <c r="GY1333" s="4"/>
      <c r="GZ1333" s="4"/>
      <c r="HA1333" s="4"/>
      <c r="HF1333" s="361"/>
      <c r="HG1333" s="182"/>
      <c r="IU1333" s="361">
        <v>21.09</v>
      </c>
      <c r="IV1333" s="362">
        <f>21.09*1.045</f>
        <v>22.04</v>
      </c>
    </row>
    <row r="1334" spans="1:256" s="39" customFormat="1" ht="19.5" customHeight="1" x14ac:dyDescent="0.2">
      <c r="A1334" s="404" t="s">
        <v>615</v>
      </c>
      <c r="B1334" s="178" t="s">
        <v>1524</v>
      </c>
      <c r="C1334" s="379" t="s">
        <v>1385</v>
      </c>
      <c r="D1334" s="389">
        <f>22.92*1.04*1.04*1.055*1.05</f>
        <v>27.46</v>
      </c>
      <c r="E1334" s="14">
        <f t="shared" si="123"/>
        <v>5.49</v>
      </c>
      <c r="F1334" s="97">
        <f t="shared" si="124"/>
        <v>32.950000000000003</v>
      </c>
      <c r="G1334" s="3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EH1334" s="3"/>
      <c r="GS1334" s="2"/>
      <c r="GT1334" s="4"/>
      <c r="GU1334" s="4"/>
      <c r="GV1334" s="4"/>
      <c r="GW1334" s="4"/>
      <c r="GX1334" s="4"/>
      <c r="GY1334" s="4"/>
      <c r="GZ1334" s="4"/>
      <c r="HA1334" s="4"/>
      <c r="HF1334" s="361"/>
      <c r="HG1334" s="182"/>
      <c r="IU1334" s="361">
        <v>21.09</v>
      </c>
      <c r="IV1334" s="362">
        <f>21.09*1.045</f>
        <v>22.04</v>
      </c>
    </row>
    <row r="1335" spans="1:256" s="39" customFormat="1" ht="16.5" customHeight="1" x14ac:dyDescent="0.2">
      <c r="A1335" s="404" t="s">
        <v>617</v>
      </c>
      <c r="B1335" s="432" t="s">
        <v>1525</v>
      </c>
      <c r="C1335" s="432"/>
      <c r="D1335" s="432"/>
      <c r="E1335" s="432"/>
      <c r="F1335" s="432"/>
      <c r="G1335" s="3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EH1335" s="3"/>
      <c r="GS1335" s="2"/>
      <c r="GT1335" s="4"/>
      <c r="GU1335" s="4"/>
      <c r="GV1335" s="4"/>
      <c r="GW1335" s="4"/>
      <c r="GX1335" s="4"/>
      <c r="GY1335" s="4"/>
      <c r="GZ1335" s="4"/>
      <c r="HA1335" s="4"/>
      <c r="HG1335" s="182"/>
    </row>
    <row r="1336" spans="1:256" s="39" customFormat="1" ht="24" customHeight="1" x14ac:dyDescent="0.2">
      <c r="A1336" s="404" t="s">
        <v>1526</v>
      </c>
      <c r="B1336" s="179" t="s">
        <v>1436</v>
      </c>
      <c r="C1336" s="379" t="s">
        <v>116</v>
      </c>
      <c r="D1336" s="389">
        <f>22.92*1.04*1.04*1.055*1.05</f>
        <v>27.46</v>
      </c>
      <c r="E1336" s="14">
        <f>D1336*20%</f>
        <v>5.49</v>
      </c>
      <c r="F1336" s="97">
        <f>D1336+E1336</f>
        <v>32.950000000000003</v>
      </c>
      <c r="G1336" s="3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EH1336" s="3"/>
      <c r="GS1336" s="2"/>
      <c r="GT1336" s="4"/>
      <c r="GU1336" s="4"/>
      <c r="GV1336" s="4"/>
      <c r="GW1336" s="4"/>
      <c r="GX1336" s="4"/>
      <c r="GY1336" s="4"/>
      <c r="GZ1336" s="4"/>
      <c r="HA1336" s="4"/>
      <c r="HF1336" s="361"/>
      <c r="HG1336" s="182"/>
      <c r="IU1336" s="361">
        <v>21.09</v>
      </c>
      <c r="IV1336" s="362">
        <f>21.09*1.045</f>
        <v>22.04</v>
      </c>
    </row>
    <row r="1337" spans="1:256" s="39" customFormat="1" ht="21" customHeight="1" x14ac:dyDescent="0.2">
      <c r="A1337" s="404" t="s">
        <v>1527</v>
      </c>
      <c r="B1337" s="179" t="s">
        <v>1469</v>
      </c>
      <c r="C1337" s="379" t="s">
        <v>1385</v>
      </c>
      <c r="D1337" s="389">
        <f>38.91*1.04*1.04*1.055*1.05</f>
        <v>46.62</v>
      </c>
      <c r="E1337" s="14">
        <f>D1337*20%</f>
        <v>9.32</v>
      </c>
      <c r="F1337" s="97">
        <f>D1337+E1337</f>
        <v>55.94</v>
      </c>
      <c r="G1337" s="3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EH1337" s="3"/>
      <c r="GS1337" s="2"/>
      <c r="GT1337" s="4"/>
      <c r="GU1337" s="4"/>
      <c r="GV1337" s="4"/>
      <c r="GW1337" s="4"/>
      <c r="GX1337" s="4"/>
      <c r="GY1337" s="4"/>
      <c r="GZ1337" s="4"/>
      <c r="HA1337" s="4"/>
      <c r="HF1337" s="361"/>
      <c r="HG1337" s="182"/>
      <c r="IU1337" s="361">
        <v>35.799999999999997</v>
      </c>
      <c r="IV1337" s="362">
        <f>35.8*1.045</f>
        <v>37.409999999999997</v>
      </c>
    </row>
    <row r="1338" spans="1:256" s="39" customFormat="1" ht="51.75" customHeight="1" x14ac:dyDescent="0.2">
      <c r="A1338" s="108" t="s">
        <v>31</v>
      </c>
      <c r="B1338" s="437" t="s">
        <v>2003</v>
      </c>
      <c r="C1338" s="437"/>
      <c r="D1338" s="437"/>
      <c r="E1338" s="437"/>
      <c r="F1338" s="437"/>
      <c r="G1338" s="3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EH1338" s="3"/>
      <c r="GS1338" s="2"/>
      <c r="GT1338" s="4"/>
      <c r="GU1338" s="4"/>
      <c r="GV1338" s="4"/>
      <c r="GW1338" s="4"/>
      <c r="GX1338" s="4"/>
      <c r="GY1338" s="4"/>
      <c r="GZ1338" s="4"/>
      <c r="HA1338" s="4"/>
      <c r="HG1338" s="182"/>
    </row>
    <row r="1339" spans="1:256" ht="21.75" customHeight="1" x14ac:dyDescent="0.2">
      <c r="A1339" s="404" t="s">
        <v>627</v>
      </c>
      <c r="B1339" s="179" t="s">
        <v>1529</v>
      </c>
      <c r="C1339" s="379" t="s">
        <v>1530</v>
      </c>
      <c r="D1339" s="389">
        <f>1.44*1.04*1.04*1.055*1.05</f>
        <v>1.73</v>
      </c>
      <c r="E1339" s="14">
        <f t="shared" ref="E1339:E1347" si="125">D1339*20%</f>
        <v>0.35</v>
      </c>
      <c r="F1339" s="97">
        <f t="shared" ref="F1339:F1345" si="126">D1339+E1339</f>
        <v>2.08</v>
      </c>
      <c r="EH1339" s="3"/>
      <c r="GS1339" s="2"/>
      <c r="GT1339" s="4"/>
      <c r="GU1339" s="4"/>
      <c r="GV1339" s="4"/>
      <c r="GW1339" s="4"/>
      <c r="GX1339" s="4"/>
      <c r="GY1339" s="4"/>
      <c r="GZ1339" s="4"/>
      <c r="HA1339" s="4"/>
      <c r="HF1339" s="171"/>
      <c r="HG1339" s="134"/>
      <c r="IU1339" s="359">
        <v>1.32</v>
      </c>
      <c r="IV1339" s="123">
        <f>1.32*1.045</f>
        <v>1.38</v>
      </c>
    </row>
    <row r="1340" spans="1:256" ht="42" customHeight="1" x14ac:dyDescent="0.2">
      <c r="A1340" s="404" t="s">
        <v>628</v>
      </c>
      <c r="B1340" s="392" t="s">
        <v>1531</v>
      </c>
      <c r="C1340" s="379" t="s">
        <v>202</v>
      </c>
      <c r="D1340" s="389">
        <f>0.17*1.04*1.04*1.055*1.05</f>
        <v>0.2</v>
      </c>
      <c r="E1340" s="14">
        <f t="shared" si="125"/>
        <v>0.04</v>
      </c>
      <c r="F1340" s="97">
        <f>D1340+E1340</f>
        <v>0.24</v>
      </c>
      <c r="EH1340" s="3"/>
      <c r="GS1340" s="2"/>
      <c r="GT1340" s="4"/>
      <c r="GU1340" s="4"/>
      <c r="GV1340" s="4"/>
      <c r="GW1340" s="4"/>
      <c r="GX1340" s="4"/>
      <c r="GY1340" s="4"/>
      <c r="GZ1340" s="4"/>
      <c r="HA1340" s="4"/>
      <c r="HF1340" s="171"/>
      <c r="HG1340" s="134"/>
      <c r="IU1340" s="359">
        <v>0.15</v>
      </c>
      <c r="IV1340" s="123">
        <f>0.15*1.045</f>
        <v>0.16</v>
      </c>
    </row>
    <row r="1341" spans="1:256" ht="20.25" customHeight="1" x14ac:dyDescent="0.2">
      <c r="A1341" s="404" t="s">
        <v>629</v>
      </c>
      <c r="B1341" s="179" t="s">
        <v>1532</v>
      </c>
      <c r="C1341" s="379" t="s">
        <v>202</v>
      </c>
      <c r="D1341" s="389">
        <f>0.14*1.04*1.04*1.055*1.05</f>
        <v>0.17</v>
      </c>
      <c r="E1341" s="14">
        <f t="shared" si="125"/>
        <v>0.03</v>
      </c>
      <c r="F1341" s="97">
        <f t="shared" si="126"/>
        <v>0.2</v>
      </c>
      <c r="EH1341" s="3"/>
      <c r="GS1341" s="2"/>
      <c r="GT1341" s="4"/>
      <c r="GU1341" s="4"/>
      <c r="GV1341" s="4"/>
      <c r="GW1341" s="4"/>
      <c r="GX1341" s="4"/>
      <c r="GY1341" s="4"/>
      <c r="GZ1341" s="4"/>
      <c r="HA1341" s="4"/>
      <c r="HF1341" s="171"/>
      <c r="HG1341" s="134"/>
      <c r="IU1341" s="359">
        <v>0.12</v>
      </c>
      <c r="IV1341" s="123">
        <f>0.12*1.045</f>
        <v>0.13</v>
      </c>
    </row>
    <row r="1342" spans="1:256" ht="21.75" customHeight="1" x14ac:dyDescent="0.2">
      <c r="A1342" s="404" t="s">
        <v>631</v>
      </c>
      <c r="B1342" s="179" t="s">
        <v>1533</v>
      </c>
      <c r="C1342" s="379" t="s">
        <v>1530</v>
      </c>
      <c r="D1342" s="389">
        <f>1.2*1.04*1.04*1.055*1.05</f>
        <v>1.44</v>
      </c>
      <c r="E1342" s="14">
        <f t="shared" si="125"/>
        <v>0.28999999999999998</v>
      </c>
      <c r="F1342" s="97">
        <f t="shared" si="126"/>
        <v>1.73</v>
      </c>
      <c r="EH1342" s="3"/>
      <c r="GS1342" s="2"/>
      <c r="GT1342" s="4"/>
      <c r="GU1342" s="4"/>
      <c r="GV1342" s="4"/>
      <c r="GW1342" s="4"/>
      <c r="GX1342" s="4"/>
      <c r="GY1342" s="4"/>
      <c r="GZ1342" s="4"/>
      <c r="HA1342" s="4"/>
      <c r="HF1342" s="171"/>
      <c r="HG1342" s="134"/>
      <c r="IU1342" s="359">
        <v>1.1000000000000001</v>
      </c>
      <c r="IV1342" s="123">
        <f>1.1*1.045</f>
        <v>1.1499999999999999</v>
      </c>
    </row>
    <row r="1343" spans="1:256" ht="19.5" customHeight="1" x14ac:dyDescent="0.2">
      <c r="A1343" s="404" t="s">
        <v>633</v>
      </c>
      <c r="B1343" s="179" t="s">
        <v>1534</v>
      </c>
      <c r="C1343" s="379" t="s">
        <v>1530</v>
      </c>
      <c r="D1343" s="389">
        <f>2.38*1.04*1.04*1.055*1.05</f>
        <v>2.85</v>
      </c>
      <c r="E1343" s="14">
        <f t="shared" si="125"/>
        <v>0.56999999999999995</v>
      </c>
      <c r="F1343" s="97">
        <f t="shared" si="126"/>
        <v>3.42</v>
      </c>
      <c r="EH1343" s="3"/>
      <c r="GS1343" s="2"/>
      <c r="GT1343" s="4"/>
      <c r="GU1343" s="4"/>
      <c r="GV1343" s="4"/>
      <c r="GW1343" s="4"/>
      <c r="GX1343" s="4"/>
      <c r="GY1343" s="4"/>
      <c r="GZ1343" s="4"/>
      <c r="HA1343" s="4"/>
      <c r="HF1343" s="171"/>
      <c r="HG1343" s="134"/>
      <c r="IU1343" s="359">
        <v>2.19</v>
      </c>
      <c r="IV1343" s="123">
        <f>2.19*1.045</f>
        <v>2.29</v>
      </c>
    </row>
    <row r="1344" spans="1:256" ht="19.5" customHeight="1" x14ac:dyDescent="0.2">
      <c r="A1344" s="404" t="s">
        <v>634</v>
      </c>
      <c r="B1344" s="179" t="s">
        <v>1535</v>
      </c>
      <c r="C1344" s="379" t="s">
        <v>1530</v>
      </c>
      <c r="D1344" s="389">
        <f>1.2*1.04*1.04*1.055*1.05</f>
        <v>1.44</v>
      </c>
      <c r="E1344" s="14">
        <f t="shared" si="125"/>
        <v>0.28999999999999998</v>
      </c>
      <c r="F1344" s="97">
        <f t="shared" si="126"/>
        <v>1.73</v>
      </c>
      <c r="EH1344" s="3"/>
      <c r="GS1344" s="2"/>
      <c r="GT1344" s="4"/>
      <c r="GU1344" s="4"/>
      <c r="GV1344" s="4"/>
      <c r="GW1344" s="4"/>
      <c r="GX1344" s="4"/>
      <c r="GY1344" s="4"/>
      <c r="GZ1344" s="4"/>
      <c r="HA1344" s="4"/>
      <c r="HF1344" s="171"/>
      <c r="HG1344" s="134"/>
      <c r="IU1344" s="359">
        <v>1.1000000000000001</v>
      </c>
      <c r="IV1344" s="123">
        <f>1.1*1.045</f>
        <v>1.1499999999999999</v>
      </c>
    </row>
    <row r="1345" spans="1:256" ht="18" customHeight="1" x14ac:dyDescent="0.2">
      <c r="A1345" s="404" t="s">
        <v>635</v>
      </c>
      <c r="B1345" s="179" t="s">
        <v>1536</v>
      </c>
      <c r="C1345" s="379" t="s">
        <v>1385</v>
      </c>
      <c r="D1345" s="389">
        <f>7.16*1.04*1.04*1.055*1.05</f>
        <v>8.58</v>
      </c>
      <c r="E1345" s="14">
        <f t="shared" si="125"/>
        <v>1.72</v>
      </c>
      <c r="F1345" s="97">
        <f t="shared" si="126"/>
        <v>10.3</v>
      </c>
      <c r="EH1345" s="3"/>
      <c r="GS1345" s="2"/>
      <c r="GT1345" s="4"/>
      <c r="GU1345" s="4"/>
      <c r="GV1345" s="4"/>
      <c r="GW1345" s="4"/>
      <c r="GX1345" s="4"/>
      <c r="GY1345" s="4"/>
      <c r="GZ1345" s="4"/>
      <c r="HA1345" s="4"/>
      <c r="HF1345" s="171"/>
      <c r="HG1345" s="134"/>
      <c r="IU1345" s="359">
        <v>6.58</v>
      </c>
      <c r="IV1345" s="123">
        <f>6.58*1.045</f>
        <v>6.88</v>
      </c>
    </row>
    <row r="1346" spans="1:256" ht="34.5" customHeight="1" x14ac:dyDescent="0.2">
      <c r="A1346" s="404" t="s">
        <v>636</v>
      </c>
      <c r="B1346" s="179" t="s">
        <v>1537</v>
      </c>
      <c r="C1346" s="379" t="s">
        <v>1538</v>
      </c>
      <c r="D1346" s="389">
        <f>6.74*1.04*1.04*1.055*1.05</f>
        <v>8.08</v>
      </c>
      <c r="E1346" s="14">
        <f t="shared" si="125"/>
        <v>1.62</v>
      </c>
      <c r="F1346" s="97">
        <f>D1346+E1346</f>
        <v>9.6999999999999993</v>
      </c>
      <c r="EH1346" s="3"/>
      <c r="GS1346" s="2"/>
      <c r="GT1346" s="4"/>
      <c r="GU1346" s="4"/>
      <c r="GV1346" s="4"/>
      <c r="GW1346" s="4"/>
      <c r="GX1346" s="4"/>
      <c r="GY1346" s="4"/>
      <c r="GZ1346" s="4"/>
      <c r="HA1346" s="4"/>
      <c r="HF1346" s="171"/>
      <c r="HG1346" s="134"/>
      <c r="IU1346" s="359">
        <v>6.2</v>
      </c>
      <c r="IV1346" s="123">
        <f>6.2*1.045</f>
        <v>6.48</v>
      </c>
    </row>
    <row r="1347" spans="1:256" ht="34.5" customHeight="1" x14ac:dyDescent="0.2">
      <c r="A1347" s="404" t="s">
        <v>1539</v>
      </c>
      <c r="B1347" s="179" t="s">
        <v>1540</v>
      </c>
      <c r="C1347" s="379" t="s">
        <v>1541</v>
      </c>
      <c r="D1347" s="389">
        <f>1.37*1.04*1.04*1.055*1.05</f>
        <v>1.64</v>
      </c>
      <c r="E1347" s="14">
        <f t="shared" si="125"/>
        <v>0.33</v>
      </c>
      <c r="F1347" s="97">
        <f>D1347+E1347</f>
        <v>1.97</v>
      </c>
      <c r="EH1347" s="3"/>
      <c r="GS1347" s="2"/>
      <c r="GT1347" s="4"/>
      <c r="GU1347" s="4"/>
      <c r="GV1347" s="4"/>
      <c r="GW1347" s="4"/>
      <c r="GX1347" s="4"/>
      <c r="GY1347" s="4"/>
      <c r="GZ1347" s="4"/>
      <c r="HA1347" s="4"/>
      <c r="HF1347" s="171"/>
      <c r="HG1347" s="134"/>
      <c r="IU1347" s="359">
        <v>1.26</v>
      </c>
      <c r="IV1347" s="123">
        <f>1.26*1.045</f>
        <v>1.32</v>
      </c>
    </row>
    <row r="1348" spans="1:256" ht="49.5" customHeight="1" x14ac:dyDescent="0.2">
      <c r="A1348" s="108" t="s">
        <v>33</v>
      </c>
      <c r="B1348" s="437" t="s">
        <v>2004</v>
      </c>
      <c r="C1348" s="437"/>
      <c r="D1348" s="437"/>
      <c r="E1348" s="437"/>
      <c r="F1348" s="437"/>
      <c r="EH1348" s="3"/>
      <c r="GS1348" s="2"/>
      <c r="GT1348" s="4"/>
      <c r="GU1348" s="4"/>
      <c r="GV1348" s="4"/>
      <c r="GW1348" s="4"/>
      <c r="GX1348" s="4"/>
      <c r="GY1348" s="4"/>
      <c r="GZ1348" s="4"/>
      <c r="HA1348" s="4"/>
      <c r="HG1348" s="134"/>
    </row>
    <row r="1349" spans="1:256" ht="15.75" customHeight="1" x14ac:dyDescent="0.2">
      <c r="A1349" s="404" t="s">
        <v>639</v>
      </c>
      <c r="B1349" s="430" t="s">
        <v>1543</v>
      </c>
      <c r="C1349" s="430"/>
      <c r="D1349" s="430"/>
      <c r="E1349" s="430"/>
      <c r="F1349" s="430"/>
      <c r="EH1349" s="3"/>
      <c r="GS1349" s="2"/>
      <c r="GT1349" s="4"/>
      <c r="GU1349" s="4"/>
      <c r="GV1349" s="4"/>
      <c r="GW1349" s="4"/>
      <c r="GX1349" s="4"/>
      <c r="GY1349" s="4"/>
      <c r="GZ1349" s="4"/>
      <c r="HA1349" s="4"/>
      <c r="HG1349" s="134"/>
    </row>
    <row r="1350" spans="1:256" ht="15.75" x14ac:dyDescent="0.2">
      <c r="A1350" s="404" t="s">
        <v>1544</v>
      </c>
      <c r="B1350" s="381" t="s">
        <v>1545</v>
      </c>
      <c r="C1350" s="379" t="s">
        <v>1530</v>
      </c>
      <c r="D1350" s="389">
        <f>121.25*1.04*1.04*1.055*1.05</f>
        <v>145.27000000000001</v>
      </c>
      <c r="E1350" s="14">
        <f t="shared" ref="E1350:E1360" si="127">D1350*20%</f>
        <v>29.05</v>
      </c>
      <c r="F1350" s="97">
        <f>D1350+E1350</f>
        <v>174.32</v>
      </c>
      <c r="EH1350" s="3"/>
      <c r="GS1350" s="2"/>
      <c r="GT1350" s="4"/>
      <c r="GU1350" s="4"/>
      <c r="GV1350" s="4"/>
      <c r="GW1350" s="4"/>
      <c r="GX1350" s="4"/>
      <c r="GY1350" s="4"/>
      <c r="GZ1350" s="4"/>
      <c r="HA1350" s="4"/>
      <c r="HF1350" s="171"/>
      <c r="HG1350" s="134"/>
      <c r="IU1350" s="359">
        <v>111.57</v>
      </c>
      <c r="IV1350" s="123">
        <f>111.57*1.045</f>
        <v>116.59</v>
      </c>
    </row>
    <row r="1351" spans="1:256" ht="15.75" x14ac:dyDescent="0.2">
      <c r="A1351" s="404" t="s">
        <v>1546</v>
      </c>
      <c r="B1351" s="381" t="s">
        <v>1547</v>
      </c>
      <c r="C1351" s="379" t="s">
        <v>1530</v>
      </c>
      <c r="D1351" s="389">
        <f>181.89*1.04*1.04*1.055*1.05</f>
        <v>217.93</v>
      </c>
      <c r="E1351" s="14">
        <f t="shared" si="127"/>
        <v>43.59</v>
      </c>
      <c r="F1351" s="97">
        <f t="shared" ref="F1351:F1360" si="128">D1351+E1351</f>
        <v>261.52</v>
      </c>
      <c r="EH1351" s="3"/>
      <c r="GS1351" s="2"/>
      <c r="GT1351" s="4"/>
      <c r="GU1351" s="4"/>
      <c r="GV1351" s="4"/>
      <c r="GW1351" s="4"/>
      <c r="GX1351" s="4"/>
      <c r="GY1351" s="4"/>
      <c r="GZ1351" s="4"/>
      <c r="HA1351" s="4"/>
      <c r="HF1351" s="171"/>
      <c r="HG1351" s="134"/>
      <c r="IU1351" s="359">
        <v>167.36</v>
      </c>
      <c r="IV1351" s="123">
        <f>167.36*1.045</f>
        <v>174.89</v>
      </c>
    </row>
    <row r="1352" spans="1:256" ht="15.75" x14ac:dyDescent="0.2">
      <c r="A1352" s="404" t="s">
        <v>1548</v>
      </c>
      <c r="B1352" s="381" t="s">
        <v>1549</v>
      </c>
      <c r="C1352" s="379" t="s">
        <v>1530</v>
      </c>
      <c r="D1352" s="389">
        <f>303.13*1.04*1.04*1.055*1.05</f>
        <v>363.19</v>
      </c>
      <c r="E1352" s="14">
        <f t="shared" si="127"/>
        <v>72.64</v>
      </c>
      <c r="F1352" s="97">
        <f t="shared" si="128"/>
        <v>435.83</v>
      </c>
      <c r="EH1352" s="3"/>
      <c r="GS1352" s="2"/>
      <c r="GT1352" s="4"/>
      <c r="GU1352" s="4"/>
      <c r="GV1352" s="4"/>
      <c r="GW1352" s="4"/>
      <c r="GX1352" s="4"/>
      <c r="GY1352" s="4"/>
      <c r="GZ1352" s="4"/>
      <c r="HA1352" s="4"/>
      <c r="HF1352" s="171"/>
      <c r="HG1352" s="134"/>
      <c r="IU1352" s="359">
        <v>278.92</v>
      </c>
      <c r="IV1352" s="123">
        <f>278.92*1.045</f>
        <v>291.47000000000003</v>
      </c>
    </row>
    <row r="1353" spans="1:256" ht="15.75" customHeight="1" x14ac:dyDescent="0.2">
      <c r="A1353" s="404" t="s">
        <v>1550</v>
      </c>
      <c r="B1353" s="381" t="s">
        <v>1551</v>
      </c>
      <c r="C1353" s="379" t="s">
        <v>1530</v>
      </c>
      <c r="D1353" s="389">
        <f>454.72*1.04*1.04*1.055*1.05</f>
        <v>544.82000000000005</v>
      </c>
      <c r="E1353" s="14">
        <f t="shared" si="127"/>
        <v>108.96</v>
      </c>
      <c r="F1353" s="97">
        <f>D1353+E1353</f>
        <v>653.78</v>
      </c>
      <c r="EH1353" s="3"/>
      <c r="GS1353" s="2"/>
      <c r="GT1353" s="4"/>
      <c r="GU1353" s="4"/>
      <c r="GV1353" s="4"/>
      <c r="GW1353" s="4"/>
      <c r="GX1353" s="4"/>
      <c r="GY1353" s="4"/>
      <c r="GZ1353" s="4"/>
      <c r="HA1353" s="4"/>
      <c r="HF1353" s="171"/>
      <c r="HG1353" s="134"/>
      <c r="IU1353" s="359">
        <v>418.4</v>
      </c>
      <c r="IV1353" s="123">
        <f>418.4*1.045</f>
        <v>437.23</v>
      </c>
    </row>
    <row r="1354" spans="1:256" ht="15.75" customHeight="1" x14ac:dyDescent="0.2">
      <c r="A1354" s="404" t="s">
        <v>1552</v>
      </c>
      <c r="B1354" s="381" t="s">
        <v>1553</v>
      </c>
      <c r="C1354" s="379" t="s">
        <v>1530</v>
      </c>
      <c r="D1354" s="389">
        <f>716.08*1.04*1.04*1.055*1.05</f>
        <v>857.97</v>
      </c>
      <c r="E1354" s="14">
        <f t="shared" si="127"/>
        <v>171.59</v>
      </c>
      <c r="F1354" s="97">
        <f t="shared" si="128"/>
        <v>1029.56</v>
      </c>
      <c r="EH1354" s="3"/>
      <c r="GS1354" s="2"/>
      <c r="GT1354" s="4"/>
      <c r="GU1354" s="4"/>
      <c r="GV1354" s="4"/>
      <c r="GW1354" s="4"/>
      <c r="GX1354" s="4"/>
      <c r="GY1354" s="4"/>
      <c r="GZ1354" s="4"/>
      <c r="HA1354" s="4"/>
      <c r="HF1354" s="171"/>
      <c r="HG1354" s="134"/>
      <c r="IU1354" s="359">
        <v>658.89</v>
      </c>
      <c r="IV1354" s="123">
        <f>658.89*1.045</f>
        <v>688.54</v>
      </c>
    </row>
    <row r="1355" spans="1:256" ht="15.75" x14ac:dyDescent="0.2">
      <c r="A1355" s="404" t="s">
        <v>640</v>
      </c>
      <c r="B1355" s="397" t="s">
        <v>1554</v>
      </c>
      <c r="C1355" s="379" t="s">
        <v>1530</v>
      </c>
      <c r="D1355" s="389">
        <f>238.7*1.04*1.04*1.055*1.05</f>
        <v>286</v>
      </c>
      <c r="E1355" s="14">
        <f t="shared" si="127"/>
        <v>57.2</v>
      </c>
      <c r="F1355" s="97">
        <f t="shared" si="128"/>
        <v>343.2</v>
      </c>
      <c r="EH1355" s="3"/>
      <c r="GS1355" s="2"/>
      <c r="GT1355" s="4"/>
      <c r="GU1355" s="4"/>
      <c r="GV1355" s="4"/>
      <c r="GW1355" s="4"/>
      <c r="GX1355" s="4"/>
      <c r="GY1355" s="4"/>
      <c r="GZ1355" s="4"/>
      <c r="HA1355" s="4"/>
      <c r="HF1355" s="171"/>
      <c r="HG1355" s="134"/>
      <c r="IU1355" s="359">
        <v>219.64</v>
      </c>
      <c r="IV1355" s="123">
        <f>219.64*1.045</f>
        <v>229.52</v>
      </c>
    </row>
    <row r="1356" spans="1:256" ht="15.75" x14ac:dyDescent="0.2">
      <c r="A1356" s="404" t="s">
        <v>641</v>
      </c>
      <c r="B1356" s="397" t="s">
        <v>1555</v>
      </c>
      <c r="C1356" s="379" t="s">
        <v>1530</v>
      </c>
      <c r="D1356" s="389">
        <f>159.2*1.04*1.04*1.055*1.05</f>
        <v>190.74</v>
      </c>
      <c r="E1356" s="14">
        <f t="shared" si="127"/>
        <v>38.15</v>
      </c>
      <c r="F1356" s="97">
        <f t="shared" si="128"/>
        <v>228.89</v>
      </c>
      <c r="EH1356" s="3"/>
      <c r="GS1356" s="2"/>
      <c r="GT1356" s="4"/>
      <c r="GU1356" s="4"/>
      <c r="GV1356" s="4"/>
      <c r="GW1356" s="4"/>
      <c r="GX1356" s="4"/>
      <c r="GY1356" s="4"/>
      <c r="GZ1356" s="4"/>
      <c r="HA1356" s="4"/>
      <c r="HF1356" s="171"/>
      <c r="HG1356" s="134"/>
      <c r="IU1356" s="359">
        <v>146.49</v>
      </c>
      <c r="IV1356" s="123">
        <f>146.49*1.045</f>
        <v>153.08000000000001</v>
      </c>
    </row>
    <row r="1357" spans="1:256" ht="15.75" x14ac:dyDescent="0.2">
      <c r="A1357" s="404" t="s">
        <v>642</v>
      </c>
      <c r="B1357" s="397" t="s">
        <v>1556</v>
      </c>
      <c r="C1357" s="379" t="s">
        <v>1530</v>
      </c>
      <c r="D1357" s="389">
        <f>238.7*1.04*1.04*1.055*1.05</f>
        <v>286</v>
      </c>
      <c r="E1357" s="14">
        <f t="shared" si="127"/>
        <v>57.2</v>
      </c>
      <c r="F1357" s="97">
        <f t="shared" si="128"/>
        <v>343.2</v>
      </c>
      <c r="EH1357" s="3"/>
      <c r="GS1357" s="2"/>
      <c r="GT1357" s="4"/>
      <c r="GU1357" s="4"/>
      <c r="GV1357" s="4"/>
      <c r="GW1357" s="4"/>
      <c r="GX1357" s="4"/>
      <c r="GY1357" s="4"/>
      <c r="GZ1357" s="4"/>
      <c r="HA1357" s="4"/>
      <c r="HF1357" s="171"/>
      <c r="HG1357" s="134"/>
      <c r="IU1357" s="359">
        <v>219.64</v>
      </c>
      <c r="IV1357" s="123">
        <f>219.64*1.045</f>
        <v>229.52</v>
      </c>
    </row>
    <row r="1358" spans="1:256" ht="31.5" x14ac:dyDescent="0.2">
      <c r="A1358" s="404" t="s">
        <v>644</v>
      </c>
      <c r="B1358" s="397" t="s">
        <v>1557</v>
      </c>
      <c r="C1358" s="379" t="s">
        <v>1530</v>
      </c>
      <c r="D1358" s="389">
        <f>238.7*1.04*1.04*1.055*1.05</f>
        <v>286</v>
      </c>
      <c r="E1358" s="14">
        <f t="shared" si="127"/>
        <v>57.2</v>
      </c>
      <c r="F1358" s="97">
        <f t="shared" si="128"/>
        <v>343.2</v>
      </c>
      <c r="EH1358" s="3"/>
      <c r="GS1358" s="2"/>
      <c r="GT1358" s="4"/>
      <c r="GU1358" s="4"/>
      <c r="GV1358" s="4"/>
      <c r="GW1358" s="4"/>
      <c r="GX1358" s="4"/>
      <c r="GY1358" s="4"/>
      <c r="GZ1358" s="4"/>
      <c r="HA1358" s="4"/>
      <c r="HF1358" s="171"/>
      <c r="HG1358" s="134"/>
      <c r="IU1358" s="359">
        <v>219.64</v>
      </c>
      <c r="IV1358" s="123">
        <f>219.64*1.045</f>
        <v>229.52</v>
      </c>
    </row>
    <row r="1359" spans="1:256" ht="26.25" customHeight="1" x14ac:dyDescent="0.2">
      <c r="A1359" s="404" t="s">
        <v>646</v>
      </c>
      <c r="B1359" s="397" t="s">
        <v>1558</v>
      </c>
      <c r="C1359" s="379" t="s">
        <v>1530</v>
      </c>
      <c r="D1359" s="389">
        <f>79.48*1.04*1.04*1.055*1.05</f>
        <v>95.23</v>
      </c>
      <c r="E1359" s="14">
        <f t="shared" si="127"/>
        <v>19.05</v>
      </c>
      <c r="F1359" s="97">
        <f>D1359+E1359</f>
        <v>114.28</v>
      </c>
      <c r="EH1359" s="3"/>
      <c r="GS1359" s="2"/>
      <c r="GT1359" s="4"/>
      <c r="GU1359" s="4"/>
      <c r="GV1359" s="4"/>
      <c r="GW1359" s="4"/>
      <c r="GX1359" s="4"/>
      <c r="GY1359" s="4"/>
      <c r="GZ1359" s="4"/>
      <c r="HA1359" s="4"/>
      <c r="HF1359" s="171"/>
      <c r="HG1359" s="134"/>
      <c r="IU1359" s="359">
        <v>73.13</v>
      </c>
      <c r="IV1359" s="123">
        <f>73.13*1.045</f>
        <v>76.42</v>
      </c>
    </row>
    <row r="1360" spans="1:256" ht="15.75" x14ac:dyDescent="0.2">
      <c r="A1360" s="404" t="s">
        <v>648</v>
      </c>
      <c r="B1360" s="397" t="s">
        <v>1559</v>
      </c>
      <c r="C1360" s="379" t="s">
        <v>1530</v>
      </c>
      <c r="D1360" s="389">
        <f>716.08*1.04*1.04*1.055*1.05</f>
        <v>857.97</v>
      </c>
      <c r="E1360" s="14">
        <f t="shared" si="127"/>
        <v>171.59</v>
      </c>
      <c r="F1360" s="97">
        <f t="shared" si="128"/>
        <v>1029.56</v>
      </c>
      <c r="EH1360" s="3"/>
      <c r="GS1360" s="2"/>
      <c r="GT1360" s="4"/>
      <c r="GU1360" s="4"/>
      <c r="GV1360" s="4"/>
      <c r="GW1360" s="4"/>
      <c r="GX1360" s="4"/>
      <c r="GY1360" s="4"/>
      <c r="GZ1360" s="4"/>
      <c r="HA1360" s="4"/>
      <c r="HF1360" s="171"/>
      <c r="HG1360" s="134"/>
      <c r="IU1360" s="359">
        <v>658.89</v>
      </c>
      <c r="IV1360" s="123">
        <f>658.89*1.045</f>
        <v>688.54</v>
      </c>
    </row>
    <row r="1361" spans="1:256" ht="20.25" customHeight="1" x14ac:dyDescent="0.2">
      <c r="A1361" s="404" t="s">
        <v>1560</v>
      </c>
      <c r="B1361" s="430" t="s">
        <v>1561</v>
      </c>
      <c r="C1361" s="430"/>
      <c r="D1361" s="430"/>
      <c r="E1361" s="430"/>
      <c r="F1361" s="430"/>
      <c r="EH1361" s="3"/>
      <c r="GS1361" s="2"/>
      <c r="GT1361" s="4"/>
      <c r="GU1361" s="4"/>
      <c r="GV1361" s="4"/>
      <c r="GW1361" s="4"/>
      <c r="GX1361" s="4"/>
      <c r="GY1361" s="4"/>
      <c r="GZ1361" s="4"/>
      <c r="HA1361" s="4"/>
      <c r="HG1361" s="134"/>
    </row>
    <row r="1362" spans="1:256" ht="20.25" customHeight="1" x14ac:dyDescent="0.2">
      <c r="A1362" s="404" t="s">
        <v>1562</v>
      </c>
      <c r="B1362" s="381" t="s">
        <v>1563</v>
      </c>
      <c r="C1362" s="379" t="s">
        <v>1530</v>
      </c>
      <c r="D1362" s="389">
        <f>54.28*1.04*1.04*1.055*1.05</f>
        <v>65.040000000000006</v>
      </c>
      <c r="E1362" s="14">
        <f>D1362*20%</f>
        <v>13.01</v>
      </c>
      <c r="F1362" s="97">
        <f>D1362+E1362</f>
        <v>78.05</v>
      </c>
      <c r="EH1362" s="3"/>
      <c r="GS1362" s="2"/>
      <c r="GT1362" s="4"/>
      <c r="GU1362" s="4"/>
      <c r="GV1362" s="4"/>
      <c r="GW1362" s="4"/>
      <c r="GX1362" s="4"/>
      <c r="GY1362" s="4"/>
      <c r="GZ1362" s="4"/>
      <c r="HA1362" s="4"/>
      <c r="HF1362" s="171"/>
      <c r="HG1362" s="134"/>
      <c r="IU1362" s="359">
        <v>49.94</v>
      </c>
      <c r="IV1362" s="123">
        <f>49.94*1.045</f>
        <v>52.19</v>
      </c>
    </row>
    <row r="1363" spans="1:256" ht="19.5" customHeight="1" x14ac:dyDescent="0.2">
      <c r="A1363" s="404" t="s">
        <v>1564</v>
      </c>
      <c r="B1363" s="381" t="s">
        <v>1565</v>
      </c>
      <c r="C1363" s="379" t="s">
        <v>1530</v>
      </c>
      <c r="D1363" s="389">
        <f>18.16*1.04*1.04*1.055*1.05</f>
        <v>21.76</v>
      </c>
      <c r="E1363" s="14">
        <f>D1363*20%</f>
        <v>4.3499999999999996</v>
      </c>
      <c r="F1363" s="97">
        <f>D1363+E1363</f>
        <v>26.11</v>
      </c>
      <c r="EH1363" s="3"/>
      <c r="GS1363" s="2"/>
      <c r="GT1363" s="4"/>
      <c r="GU1363" s="4"/>
      <c r="GV1363" s="4"/>
      <c r="GW1363" s="4"/>
      <c r="GX1363" s="4"/>
      <c r="GY1363" s="4"/>
      <c r="GZ1363" s="4"/>
      <c r="HA1363" s="4"/>
      <c r="HF1363" s="171"/>
      <c r="HG1363" s="134"/>
      <c r="IU1363" s="359">
        <v>16.71</v>
      </c>
      <c r="IV1363" s="123">
        <f>16.71*1.045</f>
        <v>17.46</v>
      </c>
    </row>
    <row r="1364" spans="1:256" ht="190.5" customHeight="1" x14ac:dyDescent="0.2">
      <c r="A1364" s="108" t="s">
        <v>35</v>
      </c>
      <c r="B1364" s="381" t="s">
        <v>2000</v>
      </c>
      <c r="C1364" s="379" t="s">
        <v>1567</v>
      </c>
      <c r="D1364" s="389">
        <f>60.38*1.04*1.04*1.055*1.05</f>
        <v>72.34</v>
      </c>
      <c r="E1364" s="14">
        <f>D1364*20%</f>
        <v>14.47</v>
      </c>
      <c r="F1364" s="97">
        <f>D1364+E1364</f>
        <v>86.81</v>
      </c>
      <c r="EH1364" s="3"/>
      <c r="GS1364" s="2"/>
      <c r="GT1364" s="4"/>
      <c r="GU1364" s="4"/>
      <c r="GV1364" s="4"/>
      <c r="GW1364" s="4"/>
      <c r="GX1364" s="4"/>
      <c r="GY1364" s="4"/>
      <c r="GZ1364" s="4"/>
      <c r="HA1364" s="4"/>
      <c r="HF1364" s="171"/>
      <c r="HG1364" s="134"/>
      <c r="IU1364" s="359">
        <v>55.56</v>
      </c>
      <c r="IV1364" s="123">
        <f>55.56*1.045</f>
        <v>58.06</v>
      </c>
    </row>
    <row r="1365" spans="1:256" ht="35.25" customHeight="1" x14ac:dyDescent="0.2">
      <c r="A1365" s="429" t="s">
        <v>2001</v>
      </c>
      <c r="B1365" s="429"/>
      <c r="C1365" s="429"/>
      <c r="D1365" s="429"/>
      <c r="E1365" s="429"/>
      <c r="F1365" s="429"/>
      <c r="EH1365" s="3"/>
      <c r="GS1365" s="2"/>
      <c r="GT1365" s="4"/>
      <c r="GU1365" s="4"/>
      <c r="GV1365" s="4"/>
      <c r="GW1365" s="4"/>
      <c r="GX1365" s="4"/>
      <c r="GY1365" s="4"/>
      <c r="GZ1365" s="4"/>
      <c r="HA1365" s="4"/>
      <c r="HG1365" s="134"/>
    </row>
    <row r="1366" spans="1:256" ht="15.75" customHeight="1" x14ac:dyDescent="0.2">
      <c r="A1366" s="108" t="s">
        <v>14</v>
      </c>
      <c r="B1366" s="430" t="s">
        <v>1569</v>
      </c>
      <c r="C1366" s="430"/>
      <c r="D1366" s="430"/>
      <c r="E1366" s="430"/>
      <c r="F1366" s="430"/>
      <c r="EH1366" s="3"/>
      <c r="GS1366" s="2"/>
      <c r="GT1366" s="4"/>
      <c r="GU1366" s="4"/>
      <c r="GV1366" s="4"/>
      <c r="GW1366" s="4"/>
      <c r="GX1366" s="4"/>
      <c r="GY1366" s="4"/>
      <c r="GZ1366" s="4"/>
      <c r="HA1366" s="4"/>
      <c r="HG1366" s="134"/>
    </row>
    <row r="1367" spans="1:256" ht="15.75" x14ac:dyDescent="0.2">
      <c r="A1367" s="404" t="s">
        <v>200</v>
      </c>
      <c r="B1367" s="381" t="s">
        <v>1570</v>
      </c>
      <c r="C1367" s="379" t="s">
        <v>1571</v>
      </c>
      <c r="D1367" s="389">
        <f>22.67*1.04*1.04*1.055*1.05</f>
        <v>27.16</v>
      </c>
      <c r="E1367" s="14">
        <f t="shared" ref="E1367:E1374" si="129">D1367*20%</f>
        <v>5.43</v>
      </c>
      <c r="F1367" s="97">
        <f t="shared" ref="F1367:F1374" si="130">D1367+E1367</f>
        <v>32.590000000000003</v>
      </c>
      <c r="EH1367" s="3"/>
      <c r="GS1367" s="2"/>
      <c r="GT1367" s="4"/>
      <c r="GU1367" s="4"/>
      <c r="GV1367" s="4"/>
      <c r="GW1367" s="4"/>
      <c r="GX1367" s="4"/>
      <c r="GY1367" s="4"/>
      <c r="GZ1367" s="4"/>
      <c r="HA1367" s="4"/>
      <c r="HF1367" s="171"/>
      <c r="HG1367" s="134"/>
      <c r="IU1367" s="359">
        <v>20.86</v>
      </c>
      <c r="IV1367" s="123">
        <f>20.86*1.045</f>
        <v>21.8</v>
      </c>
    </row>
    <row r="1368" spans="1:256" ht="31.5" x14ac:dyDescent="0.2">
      <c r="A1368" s="404" t="s">
        <v>204</v>
      </c>
      <c r="B1368" s="381" t="s">
        <v>1572</v>
      </c>
      <c r="C1368" s="379" t="s">
        <v>1571</v>
      </c>
      <c r="D1368" s="389">
        <f>19.82*1.04*1.04*1.055*1.05</f>
        <v>23.75</v>
      </c>
      <c r="E1368" s="14">
        <f t="shared" si="129"/>
        <v>4.75</v>
      </c>
      <c r="F1368" s="97">
        <f>D1368+E1368</f>
        <v>28.5</v>
      </c>
      <c r="EH1368" s="3"/>
      <c r="GS1368" s="2"/>
      <c r="GT1368" s="4"/>
      <c r="GU1368" s="4"/>
      <c r="GV1368" s="4"/>
      <c r="GW1368" s="4"/>
      <c r="GX1368" s="4"/>
      <c r="GY1368" s="4"/>
      <c r="GZ1368" s="4"/>
      <c r="HA1368" s="4"/>
      <c r="HF1368" s="171"/>
      <c r="HG1368" s="134"/>
      <c r="IU1368" s="359">
        <v>18.239999999999998</v>
      </c>
      <c r="IV1368" s="123">
        <f>18.24*1.045</f>
        <v>19.059999999999999</v>
      </c>
    </row>
    <row r="1369" spans="1:256" ht="15.75" x14ac:dyDescent="0.2">
      <c r="A1369" s="404" t="s">
        <v>521</v>
      </c>
      <c r="B1369" s="381" t="s">
        <v>1573</v>
      </c>
      <c r="C1369" s="379" t="s">
        <v>1574</v>
      </c>
      <c r="D1369" s="389">
        <f>0.78*1.04*1.04*1.055*1.05</f>
        <v>0.93</v>
      </c>
      <c r="E1369" s="14">
        <f t="shared" si="129"/>
        <v>0.19</v>
      </c>
      <c r="F1369" s="97">
        <f t="shared" si="130"/>
        <v>1.1200000000000001</v>
      </c>
      <c r="EH1369" s="180" t="s">
        <v>1575</v>
      </c>
      <c r="GS1369" s="39"/>
      <c r="GT1369" s="4"/>
      <c r="GU1369" s="4"/>
      <c r="GV1369" s="4"/>
      <c r="GW1369" s="4"/>
      <c r="GX1369" s="4"/>
      <c r="GY1369" s="4"/>
      <c r="GZ1369" s="4"/>
      <c r="HA1369" s="4"/>
      <c r="HF1369" s="171"/>
      <c r="HG1369" s="134"/>
      <c r="IU1369" s="359">
        <v>7.0000000000000007E-2</v>
      </c>
      <c r="IV1369" s="123">
        <f>0.1*1.045</f>
        <v>0.1</v>
      </c>
    </row>
    <row r="1370" spans="1:256" ht="15.75" customHeight="1" x14ac:dyDescent="0.2">
      <c r="A1370" s="404" t="s">
        <v>523</v>
      </c>
      <c r="B1370" s="381" t="s">
        <v>1576</v>
      </c>
      <c r="C1370" s="379" t="s">
        <v>1509</v>
      </c>
      <c r="D1370" s="389">
        <f>1.44*1.04*1.04*1.055*1.05</f>
        <v>1.73</v>
      </c>
      <c r="E1370" s="14">
        <f t="shared" si="129"/>
        <v>0.35</v>
      </c>
      <c r="F1370" s="97">
        <f t="shared" si="130"/>
        <v>2.08</v>
      </c>
      <c r="EH1370" s="3"/>
      <c r="GS1370" s="2"/>
      <c r="GT1370" s="4"/>
      <c r="GU1370" s="4"/>
      <c r="GV1370" s="4"/>
      <c r="GW1370" s="4"/>
      <c r="GX1370" s="4"/>
      <c r="GY1370" s="4"/>
      <c r="GZ1370" s="4"/>
      <c r="HA1370" s="4"/>
      <c r="HF1370" s="171"/>
      <c r="HG1370" s="134"/>
      <c r="IU1370" s="359">
        <v>1.32</v>
      </c>
      <c r="IV1370" s="123">
        <f>1.32*1.045</f>
        <v>1.38</v>
      </c>
    </row>
    <row r="1371" spans="1:256" ht="15.75" x14ac:dyDescent="0.2">
      <c r="A1371" s="404" t="s">
        <v>525</v>
      </c>
      <c r="B1371" s="381" t="s">
        <v>1577</v>
      </c>
      <c r="C1371" s="379" t="s">
        <v>1578</v>
      </c>
      <c r="D1371" s="389">
        <f>0.96*1.04*1.04*1.055*1.05</f>
        <v>1.1499999999999999</v>
      </c>
      <c r="E1371" s="14">
        <f t="shared" si="129"/>
        <v>0.23</v>
      </c>
      <c r="F1371" s="97">
        <f t="shared" si="130"/>
        <v>1.38</v>
      </c>
      <c r="EH1371" s="3"/>
      <c r="GS1371" s="2"/>
      <c r="GT1371" s="4"/>
      <c r="GU1371" s="4"/>
      <c r="GV1371" s="4"/>
      <c r="GW1371" s="4"/>
      <c r="GX1371" s="4"/>
      <c r="GY1371" s="4"/>
      <c r="GZ1371" s="4"/>
      <c r="HA1371" s="4"/>
      <c r="HF1371" s="171"/>
      <c r="HG1371" s="134"/>
      <c r="IU1371" s="359">
        <v>0.88</v>
      </c>
      <c r="IV1371" s="123">
        <f>0.88*1.045</f>
        <v>0.92</v>
      </c>
    </row>
    <row r="1372" spans="1:256" ht="15.75" x14ac:dyDescent="0.2">
      <c r="A1372" s="404" t="s">
        <v>527</v>
      </c>
      <c r="B1372" s="381" t="s">
        <v>1579</v>
      </c>
      <c r="C1372" s="379" t="s">
        <v>1578</v>
      </c>
      <c r="D1372" s="389">
        <f>0.78*1.04*1.04*1.055*1.05</f>
        <v>0.93</v>
      </c>
      <c r="E1372" s="14">
        <f t="shared" si="129"/>
        <v>0.19</v>
      </c>
      <c r="F1372" s="97">
        <f>D1372+E1372</f>
        <v>1.1200000000000001</v>
      </c>
      <c r="EH1372" s="180" t="s">
        <v>1575</v>
      </c>
      <c r="GS1372" s="39"/>
      <c r="GT1372" s="4"/>
      <c r="GU1372" s="4"/>
      <c r="GV1372" s="4"/>
      <c r="GW1372" s="4"/>
      <c r="GX1372" s="4"/>
      <c r="GY1372" s="4"/>
      <c r="GZ1372" s="4"/>
      <c r="HA1372" s="4"/>
      <c r="HF1372" s="171"/>
      <c r="HG1372" s="134"/>
      <c r="IU1372" s="359">
        <v>0.08</v>
      </c>
      <c r="IV1372" s="123">
        <f>0.1*1.045</f>
        <v>0.1</v>
      </c>
    </row>
    <row r="1373" spans="1:256" ht="15.75" x14ac:dyDescent="0.2">
      <c r="A1373" s="404" t="s">
        <v>530</v>
      </c>
      <c r="B1373" s="381" t="s">
        <v>1580</v>
      </c>
      <c r="C1373" s="379" t="s">
        <v>1578</v>
      </c>
      <c r="D1373" s="389">
        <f>0.78*1.04*1.04*1.055*1.05</f>
        <v>0.93</v>
      </c>
      <c r="E1373" s="14">
        <f t="shared" si="129"/>
        <v>0.19</v>
      </c>
      <c r="F1373" s="97">
        <f>D1373+E1373</f>
        <v>1.1200000000000001</v>
      </c>
      <c r="EH1373" s="180" t="s">
        <v>1575</v>
      </c>
      <c r="GS1373" s="39"/>
      <c r="GT1373" s="4"/>
      <c r="GU1373" s="4"/>
      <c r="GV1373" s="4"/>
      <c r="GW1373" s="4"/>
      <c r="GX1373" s="4"/>
      <c r="GY1373" s="4"/>
      <c r="GZ1373" s="4"/>
      <c r="HA1373" s="4"/>
      <c r="HF1373" s="171"/>
      <c r="HG1373" s="134"/>
      <c r="IU1373" s="359">
        <v>0.08</v>
      </c>
      <c r="IV1373" s="123">
        <f>0.1*1.045</f>
        <v>0.1</v>
      </c>
    </row>
    <row r="1374" spans="1:256" ht="25.5" customHeight="1" x14ac:dyDescent="0.2">
      <c r="A1374" s="404" t="s">
        <v>532</v>
      </c>
      <c r="B1374" s="381" t="s">
        <v>1581</v>
      </c>
      <c r="C1374" s="379" t="s">
        <v>1509</v>
      </c>
      <c r="D1374" s="389">
        <f>1.44*1.04*1.04*1.055*1.05</f>
        <v>1.73</v>
      </c>
      <c r="E1374" s="14">
        <f t="shared" si="129"/>
        <v>0.35</v>
      </c>
      <c r="F1374" s="97">
        <f t="shared" si="130"/>
        <v>2.08</v>
      </c>
      <c r="EH1374" s="3"/>
      <c r="GS1374" s="2"/>
      <c r="GT1374" s="4"/>
      <c r="GU1374" s="4"/>
      <c r="GV1374" s="4"/>
      <c r="GW1374" s="4"/>
      <c r="GX1374" s="4"/>
      <c r="GY1374" s="4"/>
      <c r="GZ1374" s="4"/>
      <c r="HA1374" s="4"/>
      <c r="HF1374" s="171"/>
      <c r="HG1374" s="134"/>
      <c r="IU1374" s="359">
        <v>1.32</v>
      </c>
      <c r="IV1374" s="123">
        <f>1.32*1.045</f>
        <v>1.38</v>
      </c>
    </row>
    <row r="1375" spans="1:256" ht="21" customHeight="1" x14ac:dyDescent="0.2">
      <c r="A1375" s="404" t="s">
        <v>534</v>
      </c>
      <c r="B1375" s="430" t="s">
        <v>1582</v>
      </c>
      <c r="C1375" s="430"/>
      <c r="D1375" s="430"/>
      <c r="E1375" s="430"/>
      <c r="F1375" s="430"/>
      <c r="EH1375" s="3"/>
      <c r="GS1375" s="2"/>
      <c r="GT1375" s="4"/>
      <c r="GU1375" s="4"/>
      <c r="GV1375" s="4"/>
      <c r="GW1375" s="4"/>
      <c r="GX1375" s="4"/>
      <c r="GY1375" s="4"/>
      <c r="GZ1375" s="4"/>
      <c r="HA1375" s="4"/>
      <c r="HG1375" s="134"/>
    </row>
    <row r="1376" spans="1:256" ht="15.75" x14ac:dyDescent="0.2">
      <c r="A1376" s="404" t="s">
        <v>1583</v>
      </c>
      <c r="B1376" s="99" t="s">
        <v>1584</v>
      </c>
      <c r="C1376" s="379" t="s">
        <v>1585</v>
      </c>
      <c r="D1376" s="389">
        <f>1.44*1.04*1.04*1.055*1.05</f>
        <v>1.73</v>
      </c>
      <c r="E1376" s="14">
        <f>D1376*20%</f>
        <v>0.35</v>
      </c>
      <c r="F1376" s="97">
        <f>D1376+E1376</f>
        <v>2.08</v>
      </c>
      <c r="EH1376" s="3"/>
      <c r="GS1376" s="2"/>
      <c r="GT1376" s="4"/>
      <c r="GU1376" s="4"/>
      <c r="GV1376" s="4"/>
      <c r="GW1376" s="4"/>
      <c r="GX1376" s="4"/>
      <c r="GY1376" s="4"/>
      <c r="GZ1376" s="4"/>
      <c r="HA1376" s="4"/>
      <c r="HF1376" s="171"/>
      <c r="HG1376" s="134"/>
      <c r="IU1376" s="359">
        <v>1.32</v>
      </c>
      <c r="IV1376" s="123">
        <f>1.32*1.045</f>
        <v>1.38</v>
      </c>
    </row>
    <row r="1377" spans="1:256" ht="15.75" x14ac:dyDescent="0.2">
      <c r="A1377" s="404" t="s">
        <v>1586</v>
      </c>
      <c r="B1377" s="99" t="s">
        <v>1587</v>
      </c>
      <c r="C1377" s="379" t="s">
        <v>1585</v>
      </c>
      <c r="D1377" s="389">
        <f>2.87*1.04*1.04*1.055*1.05</f>
        <v>3.44</v>
      </c>
      <c r="E1377" s="14">
        <f>D1377*20%</f>
        <v>0.69</v>
      </c>
      <c r="F1377" s="97">
        <f>D1377+E1377</f>
        <v>4.13</v>
      </c>
      <c r="EH1377" s="3"/>
      <c r="GS1377" s="2"/>
      <c r="GT1377" s="4"/>
      <c r="GU1377" s="4"/>
      <c r="GV1377" s="4"/>
      <c r="GW1377" s="4"/>
      <c r="GX1377" s="4"/>
      <c r="GY1377" s="4"/>
      <c r="GZ1377" s="4"/>
      <c r="HA1377" s="4"/>
      <c r="HF1377" s="171"/>
      <c r="HG1377" s="134"/>
      <c r="IU1377" s="359">
        <v>2.64</v>
      </c>
      <c r="IV1377" s="123">
        <f>2.64*1.045</f>
        <v>2.76</v>
      </c>
    </row>
    <row r="1378" spans="1:256" ht="15.75" x14ac:dyDescent="0.2">
      <c r="A1378" s="404" t="s">
        <v>1588</v>
      </c>
      <c r="B1378" s="99" t="s">
        <v>1589</v>
      </c>
      <c r="C1378" s="379" t="s">
        <v>1585</v>
      </c>
      <c r="D1378" s="389">
        <f>5.74*1.04*1.04*1.055*1.05</f>
        <v>6.88</v>
      </c>
      <c r="E1378" s="14">
        <f>D1378*20%</f>
        <v>1.38</v>
      </c>
      <c r="F1378" s="97">
        <f>D1378+E1378</f>
        <v>8.26</v>
      </c>
      <c r="EH1378" s="3"/>
      <c r="GS1378" s="2"/>
      <c r="GT1378" s="4"/>
      <c r="GU1378" s="4"/>
      <c r="GV1378" s="4"/>
      <c r="GW1378" s="4"/>
      <c r="GX1378" s="4"/>
      <c r="GY1378" s="4"/>
      <c r="GZ1378" s="4"/>
      <c r="HA1378" s="4"/>
      <c r="HF1378" s="171"/>
      <c r="HG1378" s="134"/>
      <c r="IU1378" s="359">
        <v>5.28</v>
      </c>
      <c r="IV1378" s="123">
        <f>5.28*1.045</f>
        <v>5.52</v>
      </c>
    </row>
    <row r="1379" spans="1:256" ht="23.25" customHeight="1" x14ac:dyDescent="0.2">
      <c r="A1379" s="108" t="s">
        <v>26</v>
      </c>
      <c r="B1379" s="436" t="s">
        <v>1590</v>
      </c>
      <c r="C1379" s="436"/>
      <c r="D1379" s="436"/>
      <c r="E1379" s="436"/>
      <c r="F1379" s="436"/>
      <c r="EH1379" s="3"/>
      <c r="GS1379" s="2"/>
      <c r="GT1379" s="4"/>
      <c r="GU1379" s="4"/>
      <c r="GV1379" s="4"/>
      <c r="GW1379" s="4"/>
      <c r="GX1379" s="4"/>
      <c r="GY1379" s="4"/>
      <c r="GZ1379" s="4"/>
      <c r="HA1379" s="4"/>
      <c r="HG1379" s="134"/>
    </row>
    <row r="1380" spans="1:256" ht="19.5" customHeight="1" x14ac:dyDescent="0.2">
      <c r="A1380" s="404" t="s">
        <v>563</v>
      </c>
      <c r="B1380" s="381" t="s">
        <v>1570</v>
      </c>
      <c r="C1380" s="379" t="s">
        <v>1591</v>
      </c>
      <c r="D1380" s="389">
        <f>47.51*1.04*1.04*1.055*1.05</f>
        <v>56.92</v>
      </c>
      <c r="E1380" s="14">
        <f t="shared" ref="E1380:E1385" si="131">D1380*20%</f>
        <v>11.38</v>
      </c>
      <c r="F1380" s="97">
        <f t="shared" ref="F1380:F1385" si="132">D1380+E1380</f>
        <v>68.3</v>
      </c>
      <c r="EH1380" s="3"/>
      <c r="GS1380" s="2"/>
      <c r="GT1380" s="4"/>
      <c r="GU1380" s="4"/>
      <c r="GV1380" s="4"/>
      <c r="GW1380" s="4"/>
      <c r="GX1380" s="4"/>
      <c r="GY1380" s="4"/>
      <c r="GZ1380" s="4"/>
      <c r="HA1380" s="4"/>
      <c r="HF1380" s="171"/>
      <c r="HG1380" s="134"/>
      <c r="IU1380" s="359">
        <v>43.71</v>
      </c>
      <c r="IV1380" s="123">
        <f>43.71*1.045</f>
        <v>45.68</v>
      </c>
    </row>
    <row r="1381" spans="1:256" ht="26.25" customHeight="1" x14ac:dyDescent="0.2">
      <c r="A1381" s="404" t="s">
        <v>565</v>
      </c>
      <c r="B1381" s="381" t="s">
        <v>1572</v>
      </c>
      <c r="C1381" s="379" t="s">
        <v>1591</v>
      </c>
      <c r="D1381" s="389">
        <f>35.56*1.04*1.04*1.055*1.05</f>
        <v>42.61</v>
      </c>
      <c r="E1381" s="14">
        <f t="shared" si="131"/>
        <v>8.52</v>
      </c>
      <c r="F1381" s="97">
        <f>D1381+E1381</f>
        <v>51.13</v>
      </c>
      <c r="EH1381" s="3"/>
      <c r="GS1381" s="2"/>
      <c r="GT1381" s="4"/>
      <c r="GU1381" s="4"/>
      <c r="GV1381" s="4"/>
      <c r="GW1381" s="4"/>
      <c r="GX1381" s="4"/>
      <c r="GY1381" s="4"/>
      <c r="GZ1381" s="4"/>
      <c r="HA1381" s="4"/>
      <c r="HF1381" s="171"/>
      <c r="HG1381" s="134"/>
      <c r="IU1381" s="359">
        <v>32.72</v>
      </c>
      <c r="IV1381" s="123">
        <f>32.72*1.045</f>
        <v>34.19</v>
      </c>
    </row>
    <row r="1382" spans="1:256" ht="22.5" customHeight="1" x14ac:dyDescent="0.2">
      <c r="A1382" s="404" t="s">
        <v>567</v>
      </c>
      <c r="B1382" s="381" t="s">
        <v>1573</v>
      </c>
      <c r="C1382" s="379" t="s">
        <v>1592</v>
      </c>
      <c r="D1382" s="389">
        <f>1.04*1.04*1.04*1.055*1.05</f>
        <v>1.25</v>
      </c>
      <c r="E1382" s="14">
        <f t="shared" si="131"/>
        <v>0.25</v>
      </c>
      <c r="F1382" s="97">
        <f t="shared" si="132"/>
        <v>1.5</v>
      </c>
      <c r="EH1382" s="180" t="s">
        <v>1593</v>
      </c>
      <c r="GS1382" s="39"/>
      <c r="GT1382" s="4"/>
      <c r="GU1382" s="4"/>
      <c r="GV1382" s="4"/>
      <c r="GW1382" s="4"/>
      <c r="GX1382" s="4"/>
      <c r="GY1382" s="4"/>
      <c r="GZ1382" s="4"/>
      <c r="HA1382" s="4"/>
      <c r="HF1382" s="171"/>
      <c r="HG1382" s="134"/>
      <c r="IU1382" s="359">
        <v>0.28999999999999998</v>
      </c>
      <c r="IV1382" s="123">
        <f>0.29*1.045</f>
        <v>0.3</v>
      </c>
    </row>
    <row r="1383" spans="1:256" ht="18" customHeight="1" x14ac:dyDescent="0.2">
      <c r="A1383" s="404" t="s">
        <v>569</v>
      </c>
      <c r="B1383" s="381" t="s">
        <v>1594</v>
      </c>
      <c r="C1383" s="379" t="s">
        <v>1595</v>
      </c>
      <c r="D1383" s="389">
        <f>1.99*1.04*1.04*1.055*1.05</f>
        <v>2.38</v>
      </c>
      <c r="E1383" s="14">
        <f t="shared" si="131"/>
        <v>0.48</v>
      </c>
      <c r="F1383" s="97">
        <f t="shared" si="132"/>
        <v>2.86</v>
      </c>
      <c r="EH1383" s="3"/>
      <c r="GS1383" s="2"/>
      <c r="GT1383" s="4"/>
      <c r="GU1383" s="4"/>
      <c r="GV1383" s="4"/>
      <c r="GW1383" s="4"/>
      <c r="GX1383" s="4"/>
      <c r="GY1383" s="4"/>
      <c r="GZ1383" s="4"/>
      <c r="HA1383" s="4"/>
      <c r="HF1383" s="171"/>
      <c r="HG1383" s="134"/>
      <c r="IU1383" s="359">
        <v>1.83</v>
      </c>
      <c r="IV1383" s="123">
        <f>1.83*1.045</f>
        <v>1.91</v>
      </c>
    </row>
    <row r="1384" spans="1:256" ht="17.25" customHeight="1" x14ac:dyDescent="0.2">
      <c r="A1384" s="404" t="s">
        <v>571</v>
      </c>
      <c r="B1384" s="381" t="s">
        <v>1596</v>
      </c>
      <c r="C1384" s="379" t="s">
        <v>1595</v>
      </c>
      <c r="D1384" s="389">
        <f>1.44*1.04*1.04*1.055*1.05</f>
        <v>1.73</v>
      </c>
      <c r="E1384" s="14">
        <f t="shared" si="131"/>
        <v>0.35</v>
      </c>
      <c r="F1384" s="97">
        <f t="shared" si="132"/>
        <v>2.08</v>
      </c>
      <c r="EH1384" s="3"/>
      <c r="GS1384" s="2"/>
      <c r="GT1384" s="4"/>
      <c r="GU1384" s="4"/>
      <c r="GV1384" s="4"/>
      <c r="GW1384" s="4"/>
      <c r="GX1384" s="4"/>
      <c r="GY1384" s="4"/>
      <c r="GZ1384" s="4"/>
      <c r="HA1384" s="4"/>
      <c r="HF1384" s="171"/>
      <c r="HG1384" s="134"/>
      <c r="IU1384" s="359">
        <v>1.32</v>
      </c>
      <c r="IV1384" s="123">
        <f>1.32*1.045</f>
        <v>1.38</v>
      </c>
    </row>
    <row r="1385" spans="1:256" ht="18.75" customHeight="1" x14ac:dyDescent="0.2">
      <c r="A1385" s="404" t="s">
        <v>573</v>
      </c>
      <c r="B1385" s="381" t="s">
        <v>1597</v>
      </c>
      <c r="C1385" s="379" t="s">
        <v>1598</v>
      </c>
      <c r="D1385" s="389">
        <f>132.83*1.04*1.04*1.055*1.05</f>
        <v>159.15</v>
      </c>
      <c r="E1385" s="14">
        <f t="shared" si="131"/>
        <v>31.83</v>
      </c>
      <c r="F1385" s="97">
        <f t="shared" si="132"/>
        <v>190.98</v>
      </c>
      <c r="EH1385" s="3"/>
      <c r="GS1385" s="2"/>
      <c r="GT1385" s="4"/>
      <c r="GU1385" s="4"/>
      <c r="GV1385" s="4"/>
      <c r="GW1385" s="4"/>
      <c r="GX1385" s="4"/>
      <c r="GY1385" s="4"/>
      <c r="GZ1385" s="4"/>
      <c r="HA1385" s="4"/>
      <c r="HF1385" s="171"/>
      <c r="HG1385" s="134"/>
      <c r="IU1385" s="359">
        <v>122.22</v>
      </c>
      <c r="IV1385" s="123">
        <f>122.22*1.045</f>
        <v>127.72</v>
      </c>
    </row>
    <row r="1386" spans="1:256" ht="23.25" customHeight="1" x14ac:dyDescent="0.2">
      <c r="A1386" s="108" t="s">
        <v>29</v>
      </c>
      <c r="B1386" s="430" t="s">
        <v>1599</v>
      </c>
      <c r="C1386" s="430"/>
      <c r="D1386" s="430"/>
      <c r="E1386" s="430"/>
      <c r="F1386" s="430"/>
      <c r="EH1386" s="3"/>
      <c r="GS1386" s="2"/>
      <c r="GT1386" s="4"/>
      <c r="GU1386" s="4"/>
      <c r="GV1386" s="4"/>
      <c r="GW1386" s="4"/>
      <c r="GX1386" s="4"/>
      <c r="GY1386" s="4"/>
      <c r="GZ1386" s="4"/>
      <c r="HA1386" s="4"/>
      <c r="HG1386" s="134"/>
    </row>
    <row r="1387" spans="1:256" ht="38.25" customHeight="1" x14ac:dyDescent="0.2">
      <c r="A1387" s="404" t="s">
        <v>578</v>
      </c>
      <c r="B1387" s="381" t="s">
        <v>1600</v>
      </c>
      <c r="C1387" s="379" t="s">
        <v>1591</v>
      </c>
      <c r="D1387" s="389">
        <f>23.15*1.04*1.04*1.055*1.05</f>
        <v>27.74</v>
      </c>
      <c r="E1387" s="14">
        <f>D1387*20%</f>
        <v>5.55</v>
      </c>
      <c r="F1387" s="97">
        <f>D1387+E1387</f>
        <v>33.29</v>
      </c>
      <c r="EH1387" s="3"/>
      <c r="GS1387" s="2"/>
      <c r="GT1387" s="4"/>
      <c r="GU1387" s="4"/>
      <c r="GV1387" s="4"/>
      <c r="GW1387" s="4"/>
      <c r="GX1387" s="4"/>
      <c r="GY1387" s="4"/>
      <c r="GZ1387" s="4"/>
      <c r="HA1387" s="4"/>
      <c r="HF1387" s="171"/>
      <c r="HG1387" s="134"/>
      <c r="IU1387" s="359">
        <v>21.3</v>
      </c>
      <c r="IV1387" s="123">
        <f>21.3*1.045</f>
        <v>22.26</v>
      </c>
    </row>
    <row r="1388" spans="1:256" ht="21" customHeight="1" x14ac:dyDescent="0.2">
      <c r="A1388" s="404" t="s">
        <v>580</v>
      </c>
      <c r="B1388" s="381" t="s">
        <v>1573</v>
      </c>
      <c r="C1388" s="379" t="s">
        <v>1592</v>
      </c>
      <c r="D1388" s="389">
        <f>0.15*1.04*1.04*1.055*1.05</f>
        <v>0.18</v>
      </c>
      <c r="E1388" s="14">
        <f>D1388*20%</f>
        <v>0.04</v>
      </c>
      <c r="F1388" s="97">
        <f>D1388+E1388</f>
        <v>0.22</v>
      </c>
      <c r="EH1388" s="3"/>
      <c r="GS1388" s="2"/>
      <c r="GT1388" s="4"/>
      <c r="GU1388" s="4"/>
      <c r="GV1388" s="4"/>
      <c r="GW1388" s="4"/>
      <c r="GX1388" s="4"/>
      <c r="GY1388" s="4"/>
      <c r="GZ1388" s="4"/>
      <c r="HA1388" s="4"/>
      <c r="HF1388" s="171"/>
      <c r="HG1388" s="134"/>
      <c r="IU1388" s="359">
        <v>0.13</v>
      </c>
      <c r="IV1388" s="123">
        <f>0.13*1.045</f>
        <v>0.14000000000000001</v>
      </c>
    </row>
    <row r="1389" spans="1:256" ht="41.25" customHeight="1" x14ac:dyDescent="0.2">
      <c r="A1389" s="404" t="s">
        <v>582</v>
      </c>
      <c r="B1389" s="381" t="s">
        <v>1601</v>
      </c>
      <c r="C1389" s="379" t="s">
        <v>1591</v>
      </c>
      <c r="D1389" s="389">
        <f>89.51*1.04*1.04*1.055*1.05</f>
        <v>107.25</v>
      </c>
      <c r="E1389" s="14">
        <f>D1389*20%</f>
        <v>21.45</v>
      </c>
      <c r="F1389" s="97">
        <f>D1389+E1389</f>
        <v>128.69999999999999</v>
      </c>
      <c r="EH1389" s="3"/>
      <c r="GS1389" s="2"/>
      <c r="GT1389" s="4"/>
      <c r="GU1389" s="4"/>
      <c r="GV1389" s="4"/>
      <c r="GW1389" s="4"/>
      <c r="GX1389" s="4"/>
      <c r="GY1389" s="4"/>
      <c r="GZ1389" s="4"/>
      <c r="HA1389" s="4"/>
      <c r="HF1389" s="171"/>
      <c r="HG1389" s="134"/>
      <c r="IU1389" s="359">
        <v>82.36</v>
      </c>
      <c r="IV1389" s="123">
        <f>82.36*1.045</f>
        <v>86.07</v>
      </c>
    </row>
    <row r="1390" spans="1:256" ht="66" customHeight="1" x14ac:dyDescent="0.2">
      <c r="A1390" s="108" t="s">
        <v>31</v>
      </c>
      <c r="B1390" s="397" t="s">
        <v>1602</v>
      </c>
      <c r="C1390" s="379" t="s">
        <v>1591</v>
      </c>
      <c r="D1390" s="389">
        <f>37.95*1.04*1.04*1.055*1.05</f>
        <v>45.47</v>
      </c>
      <c r="E1390" s="14">
        <f>D1390*20%</f>
        <v>9.09</v>
      </c>
      <c r="F1390" s="97">
        <f>D1390+E1390</f>
        <v>54.56</v>
      </c>
      <c r="EH1390" s="3"/>
      <c r="GS1390" s="2"/>
      <c r="GT1390" s="4"/>
      <c r="GU1390" s="4"/>
      <c r="GV1390" s="4"/>
      <c r="GW1390" s="4"/>
      <c r="GX1390" s="4"/>
      <c r="GY1390" s="4"/>
      <c r="GZ1390" s="4"/>
      <c r="HA1390" s="4"/>
      <c r="HF1390" s="171"/>
      <c r="HG1390" s="134"/>
      <c r="IU1390" s="359">
        <v>34.92</v>
      </c>
      <c r="IV1390" s="123">
        <f>34.92*1.045</f>
        <v>36.49</v>
      </c>
    </row>
    <row r="1391" spans="1:256" ht="16.5" customHeight="1" x14ac:dyDescent="0.2">
      <c r="A1391" s="108" t="s">
        <v>33</v>
      </c>
      <c r="B1391" s="430" t="s">
        <v>1603</v>
      </c>
      <c r="C1391" s="430"/>
      <c r="D1391" s="430"/>
      <c r="E1391" s="430"/>
      <c r="F1391" s="430"/>
      <c r="EH1391" s="3"/>
      <c r="GS1391" s="2"/>
      <c r="GT1391" s="4"/>
      <c r="GU1391" s="4"/>
      <c r="GV1391" s="4"/>
      <c r="GW1391" s="4"/>
      <c r="GX1391" s="4"/>
      <c r="GY1391" s="4"/>
      <c r="GZ1391" s="4"/>
      <c r="HA1391" s="4"/>
      <c r="HG1391" s="134"/>
    </row>
    <row r="1392" spans="1:256" ht="18" customHeight="1" x14ac:dyDescent="0.2">
      <c r="A1392" s="404" t="s">
        <v>639</v>
      </c>
      <c r="B1392" s="381" t="s">
        <v>1604</v>
      </c>
      <c r="C1392" s="379" t="s">
        <v>1591</v>
      </c>
      <c r="D1392" s="389">
        <f>5.01*1.04*1.04*1.055*1.05</f>
        <v>6</v>
      </c>
      <c r="E1392" s="14">
        <f>D1392*20%</f>
        <v>1.2</v>
      </c>
      <c r="F1392" s="97">
        <f>D1392+E1392</f>
        <v>7.2</v>
      </c>
      <c r="EH1392" s="3"/>
      <c r="GS1392" s="2"/>
      <c r="GT1392" s="4"/>
      <c r="GU1392" s="4"/>
      <c r="GV1392" s="4"/>
      <c r="GW1392" s="4"/>
      <c r="GX1392" s="4"/>
      <c r="GY1392" s="4"/>
      <c r="GZ1392" s="4"/>
      <c r="HA1392" s="4"/>
      <c r="HF1392" s="171"/>
      <c r="HG1392" s="134"/>
      <c r="IU1392" s="359">
        <v>4.6100000000000003</v>
      </c>
      <c r="IV1392" s="123">
        <f>4.61*1.045</f>
        <v>4.82</v>
      </c>
    </row>
    <row r="1393" spans="1:256" ht="19.5" customHeight="1" x14ac:dyDescent="0.2">
      <c r="A1393" s="404" t="s">
        <v>640</v>
      </c>
      <c r="B1393" s="381" t="s">
        <v>1605</v>
      </c>
      <c r="C1393" s="379" t="s">
        <v>1591</v>
      </c>
      <c r="D1393" s="389">
        <f>2.87*1.04*1.04*1.055*1.05</f>
        <v>3.44</v>
      </c>
      <c r="E1393" s="14">
        <f>D1393*20%</f>
        <v>0.69</v>
      </c>
      <c r="F1393" s="97">
        <f>D1393+E1393</f>
        <v>4.13</v>
      </c>
      <c r="EH1393" s="3"/>
      <c r="GS1393" s="2"/>
      <c r="GT1393" s="4"/>
      <c r="GU1393" s="4"/>
      <c r="GV1393" s="4"/>
      <c r="GW1393" s="4"/>
      <c r="GX1393" s="4"/>
      <c r="GY1393" s="4"/>
      <c r="GZ1393" s="4"/>
      <c r="HA1393" s="4"/>
      <c r="HF1393" s="171"/>
      <c r="HG1393" s="134"/>
      <c r="IU1393" s="359">
        <v>2.64</v>
      </c>
      <c r="IV1393" s="123">
        <f>2.64*1.045</f>
        <v>2.76</v>
      </c>
    </row>
    <row r="1394" spans="1:256" ht="18" customHeight="1" x14ac:dyDescent="0.2">
      <c r="A1394" s="404" t="s">
        <v>641</v>
      </c>
      <c r="B1394" s="381" t="s">
        <v>1606</v>
      </c>
      <c r="C1394" s="379" t="s">
        <v>1591</v>
      </c>
      <c r="D1394" s="389">
        <f>6.21*1.04*1.04*1.055*1.05</f>
        <v>7.44</v>
      </c>
      <c r="E1394" s="14">
        <f>D1394*20%</f>
        <v>1.49</v>
      </c>
      <c r="F1394" s="97">
        <f>D1394+E1394</f>
        <v>8.93</v>
      </c>
      <c r="EH1394" s="3"/>
      <c r="GS1394" s="2"/>
      <c r="GT1394" s="4"/>
      <c r="GU1394" s="4"/>
      <c r="GV1394" s="4"/>
      <c r="GW1394" s="4"/>
      <c r="GX1394" s="4"/>
      <c r="GY1394" s="4"/>
      <c r="GZ1394" s="4"/>
      <c r="HA1394" s="4"/>
      <c r="HF1394" s="171"/>
      <c r="HG1394" s="134"/>
      <c r="IU1394" s="359">
        <v>5.71</v>
      </c>
      <c r="IV1394" s="123">
        <f>5.71*1.045</f>
        <v>5.97</v>
      </c>
    </row>
    <row r="1395" spans="1:256" ht="23.25" customHeight="1" x14ac:dyDescent="0.2">
      <c r="A1395" s="404" t="s">
        <v>642</v>
      </c>
      <c r="B1395" s="381" t="s">
        <v>2178</v>
      </c>
      <c r="C1395" s="379" t="s">
        <v>1591</v>
      </c>
      <c r="D1395" s="389">
        <f>1.98*1.04*1.04*1.055*1.05</f>
        <v>2.37</v>
      </c>
      <c r="E1395" s="14">
        <f>D1395*20%</f>
        <v>0.47</v>
      </c>
      <c r="F1395" s="97">
        <f>D1395+E1395</f>
        <v>2.84</v>
      </c>
      <c r="EH1395" s="3"/>
      <c r="GS1395" s="2"/>
      <c r="GT1395" s="4"/>
      <c r="GU1395" s="4"/>
      <c r="GV1395" s="4"/>
      <c r="GW1395" s="4"/>
      <c r="GX1395" s="4"/>
      <c r="GY1395" s="4"/>
      <c r="GZ1395" s="4"/>
      <c r="HA1395" s="4"/>
      <c r="HF1395" s="171"/>
      <c r="HG1395" s="134"/>
      <c r="IU1395" s="359">
        <v>1.82</v>
      </c>
      <c r="IV1395" s="123">
        <f>1.82*1.045</f>
        <v>1.9</v>
      </c>
    </row>
    <row r="1396" spans="1:256" ht="22.5" customHeight="1" x14ac:dyDescent="0.2">
      <c r="A1396" s="404" t="s">
        <v>644</v>
      </c>
      <c r="B1396" s="381" t="s">
        <v>1608</v>
      </c>
      <c r="C1396" s="379" t="s">
        <v>1591</v>
      </c>
      <c r="D1396" s="389">
        <f>6.21*1.04*1.04*1.055*1.05</f>
        <v>7.44</v>
      </c>
      <c r="E1396" s="14">
        <f>D1396*20%</f>
        <v>1.49</v>
      </c>
      <c r="F1396" s="97">
        <f>D1396+E1396</f>
        <v>8.93</v>
      </c>
      <c r="EH1396" s="3"/>
      <c r="GS1396" s="2"/>
      <c r="GT1396" s="4"/>
      <c r="GU1396" s="4"/>
      <c r="GV1396" s="4"/>
      <c r="GW1396" s="4"/>
      <c r="GX1396" s="4"/>
      <c r="GY1396" s="4"/>
      <c r="GZ1396" s="4"/>
      <c r="HA1396" s="4"/>
      <c r="HF1396" s="171"/>
      <c r="HG1396" s="134"/>
      <c r="IU1396" s="359">
        <v>5.71</v>
      </c>
      <c r="IV1396" s="123">
        <f>5.71*1.045</f>
        <v>5.97</v>
      </c>
    </row>
    <row r="1397" spans="1:256" ht="36.75" customHeight="1" x14ac:dyDescent="0.2">
      <c r="A1397" s="108" t="s">
        <v>35</v>
      </c>
      <c r="B1397" s="430" t="s">
        <v>1609</v>
      </c>
      <c r="C1397" s="430"/>
      <c r="D1397" s="430"/>
      <c r="E1397" s="430"/>
      <c r="F1397" s="430"/>
      <c r="EH1397" s="3"/>
      <c r="GS1397" s="2"/>
      <c r="GT1397" s="4"/>
      <c r="GU1397" s="4"/>
      <c r="GV1397" s="4"/>
      <c r="GW1397" s="4"/>
      <c r="GX1397" s="4"/>
      <c r="GY1397" s="4"/>
      <c r="GZ1397" s="4"/>
      <c r="HA1397" s="4"/>
      <c r="HG1397" s="134"/>
    </row>
    <row r="1398" spans="1:256" ht="18" customHeight="1" x14ac:dyDescent="0.2">
      <c r="A1398" s="404" t="s">
        <v>259</v>
      </c>
      <c r="B1398" s="381" t="s">
        <v>1610</v>
      </c>
      <c r="C1398" s="379" t="s">
        <v>1591</v>
      </c>
      <c r="D1398" s="389">
        <f>31.28*1.04*1.04*1.055*1.05</f>
        <v>37.479999999999997</v>
      </c>
      <c r="E1398" s="14">
        <f t="shared" ref="E1398:E1404" si="133">D1398*20%</f>
        <v>7.5</v>
      </c>
      <c r="F1398" s="97">
        <f t="shared" ref="F1398:F1404" si="134">D1398+E1398</f>
        <v>44.98</v>
      </c>
      <c r="EH1398" s="3"/>
      <c r="GS1398" s="2"/>
      <c r="GT1398" s="4"/>
      <c r="GU1398" s="4"/>
      <c r="GV1398" s="4"/>
      <c r="GW1398" s="4"/>
      <c r="GX1398" s="4"/>
      <c r="GY1398" s="4"/>
      <c r="GZ1398" s="4"/>
      <c r="HA1398" s="4"/>
      <c r="HF1398" s="171"/>
      <c r="HG1398" s="134"/>
      <c r="IU1398" s="359">
        <v>28.78</v>
      </c>
      <c r="IV1398" s="123">
        <f>28.78*1.045</f>
        <v>30.08</v>
      </c>
    </row>
    <row r="1399" spans="1:256" ht="18" customHeight="1" x14ac:dyDescent="0.2">
      <c r="A1399" s="404" t="s">
        <v>261</v>
      </c>
      <c r="B1399" s="381" t="s">
        <v>1611</v>
      </c>
      <c r="C1399" s="379" t="s">
        <v>1591</v>
      </c>
      <c r="D1399" s="389">
        <f>25.3*1.04*1.04*1.055*1.05</f>
        <v>30.31</v>
      </c>
      <c r="E1399" s="14">
        <f t="shared" si="133"/>
        <v>6.06</v>
      </c>
      <c r="F1399" s="97">
        <f t="shared" si="134"/>
        <v>36.369999999999997</v>
      </c>
      <c r="EH1399" s="3"/>
      <c r="GS1399" s="2"/>
      <c r="GT1399" s="4"/>
      <c r="GU1399" s="4"/>
      <c r="GV1399" s="4"/>
      <c r="GW1399" s="4"/>
      <c r="GX1399" s="4"/>
      <c r="GY1399" s="4"/>
      <c r="GZ1399" s="4"/>
      <c r="HA1399" s="4"/>
      <c r="HF1399" s="171"/>
      <c r="HG1399" s="134"/>
      <c r="IU1399" s="359">
        <v>23.28</v>
      </c>
      <c r="IV1399" s="123">
        <f>23.28*1.045</f>
        <v>24.33</v>
      </c>
    </row>
    <row r="1400" spans="1:256" ht="48" customHeight="1" x14ac:dyDescent="0.2">
      <c r="A1400" s="404" t="s">
        <v>652</v>
      </c>
      <c r="B1400" s="381" t="s">
        <v>1612</v>
      </c>
      <c r="C1400" s="379" t="s">
        <v>1591</v>
      </c>
      <c r="D1400" s="389">
        <f>59.2*1.04*1.04*1.055*1.05</f>
        <v>70.930000000000007</v>
      </c>
      <c r="E1400" s="14">
        <f t="shared" si="133"/>
        <v>14.19</v>
      </c>
      <c r="F1400" s="97">
        <f t="shared" si="134"/>
        <v>85.12</v>
      </c>
      <c r="EH1400" s="3"/>
      <c r="GS1400" s="2"/>
      <c r="GT1400" s="4"/>
      <c r="GU1400" s="4"/>
      <c r="GV1400" s="4"/>
      <c r="GW1400" s="4"/>
      <c r="GX1400" s="4"/>
      <c r="GY1400" s="4"/>
      <c r="GZ1400" s="4"/>
      <c r="HA1400" s="4"/>
      <c r="HF1400" s="171"/>
      <c r="HG1400" s="134"/>
      <c r="IU1400" s="359">
        <v>54.47</v>
      </c>
      <c r="IV1400" s="123">
        <f>54.47*1.045</f>
        <v>56.92</v>
      </c>
    </row>
    <row r="1401" spans="1:256" ht="37.5" customHeight="1" x14ac:dyDescent="0.2">
      <c r="A1401" s="404" t="s">
        <v>653</v>
      </c>
      <c r="B1401" s="381" t="s">
        <v>1613</v>
      </c>
      <c r="C1401" s="379" t="s">
        <v>1591</v>
      </c>
      <c r="D1401" s="389">
        <f>42.01*1.04*1.04*1.055*1.05</f>
        <v>50.33</v>
      </c>
      <c r="E1401" s="14">
        <f t="shared" si="133"/>
        <v>10.07</v>
      </c>
      <c r="F1401" s="97">
        <f>D1401+E1401</f>
        <v>60.4</v>
      </c>
      <c r="EH1401" s="3"/>
      <c r="GS1401" s="2"/>
      <c r="GT1401" s="4"/>
      <c r="GU1401" s="4"/>
      <c r="GV1401" s="4"/>
      <c r="GW1401" s="4"/>
      <c r="GX1401" s="4"/>
      <c r="GY1401" s="4"/>
      <c r="GZ1401" s="4"/>
      <c r="HA1401" s="4"/>
      <c r="HF1401" s="171"/>
      <c r="HG1401" s="134"/>
      <c r="IU1401" s="359">
        <v>38.65</v>
      </c>
      <c r="IV1401" s="123">
        <f>38.65*1.045</f>
        <v>40.39</v>
      </c>
    </row>
    <row r="1402" spans="1:256" ht="48" customHeight="1" x14ac:dyDescent="0.2">
      <c r="A1402" s="404" t="s">
        <v>655</v>
      </c>
      <c r="B1402" s="98" t="s">
        <v>1614</v>
      </c>
      <c r="C1402" s="379" t="s">
        <v>1598</v>
      </c>
      <c r="D1402" s="389">
        <f>15.28*1.04*1.04*1.055*1.05</f>
        <v>18.309999999999999</v>
      </c>
      <c r="E1402" s="14">
        <f t="shared" si="133"/>
        <v>3.66</v>
      </c>
      <c r="F1402" s="97">
        <f t="shared" si="134"/>
        <v>21.97</v>
      </c>
      <c r="EH1402" s="3"/>
      <c r="GS1402" s="2"/>
      <c r="GT1402" s="4"/>
      <c r="GU1402" s="4"/>
      <c r="GV1402" s="4"/>
      <c r="GW1402" s="4"/>
      <c r="GX1402" s="4"/>
      <c r="GY1402" s="4"/>
      <c r="GZ1402" s="4"/>
      <c r="HA1402" s="4"/>
      <c r="HF1402" s="171"/>
      <c r="HG1402" s="134"/>
      <c r="IU1402" s="359">
        <v>14.06</v>
      </c>
      <c r="IV1402" s="123">
        <f>14.06*1.045</f>
        <v>14.69</v>
      </c>
    </row>
    <row r="1403" spans="1:256" ht="48" customHeight="1" x14ac:dyDescent="0.2">
      <c r="A1403" s="404" t="s">
        <v>657</v>
      </c>
      <c r="B1403" s="381" t="s">
        <v>1615</v>
      </c>
      <c r="C1403" s="379" t="s">
        <v>1591</v>
      </c>
      <c r="D1403" s="389">
        <f>39.38*1.04*1.04*1.055*1.05</f>
        <v>47.18</v>
      </c>
      <c r="E1403" s="14">
        <f t="shared" si="133"/>
        <v>9.44</v>
      </c>
      <c r="F1403" s="97">
        <f t="shared" si="134"/>
        <v>56.62</v>
      </c>
      <c r="EH1403" s="3"/>
      <c r="GS1403" s="2"/>
      <c r="GT1403" s="4"/>
      <c r="GU1403" s="4"/>
      <c r="GV1403" s="4"/>
      <c r="GW1403" s="4"/>
      <c r="GX1403" s="4"/>
      <c r="GY1403" s="4"/>
      <c r="GZ1403" s="4"/>
      <c r="HA1403" s="4"/>
      <c r="HF1403" s="171"/>
      <c r="HG1403" s="134"/>
      <c r="IU1403" s="359">
        <v>36.24</v>
      </c>
      <c r="IV1403" s="123">
        <f>36.24*1.045</f>
        <v>37.869999999999997</v>
      </c>
    </row>
    <row r="1404" spans="1:256" ht="32.25" customHeight="1" x14ac:dyDescent="0.2">
      <c r="A1404" s="108" t="s">
        <v>37</v>
      </c>
      <c r="B1404" s="397" t="s">
        <v>1616</v>
      </c>
      <c r="C1404" s="379" t="s">
        <v>1026</v>
      </c>
      <c r="D1404" s="389">
        <f>207.47*1.04*1.04*1.055*1.05</f>
        <v>248.58</v>
      </c>
      <c r="E1404" s="14">
        <f t="shared" si="133"/>
        <v>49.72</v>
      </c>
      <c r="F1404" s="97">
        <f t="shared" si="134"/>
        <v>298.3</v>
      </c>
      <c r="EH1404" s="3"/>
      <c r="GS1404" s="2"/>
      <c r="GT1404" s="4"/>
      <c r="GU1404" s="4"/>
      <c r="GV1404" s="4"/>
      <c r="GW1404" s="4"/>
      <c r="GX1404" s="4"/>
      <c r="GY1404" s="4"/>
      <c r="GZ1404" s="4"/>
      <c r="HA1404" s="4"/>
      <c r="HF1404" s="171"/>
      <c r="HG1404" s="134"/>
      <c r="IU1404" s="359">
        <v>190.9</v>
      </c>
      <c r="IV1404" s="123">
        <f>190.9*1.045</f>
        <v>199.49</v>
      </c>
    </row>
    <row r="1405" spans="1:256" ht="33.75" customHeight="1" x14ac:dyDescent="0.2">
      <c r="A1405" s="429" t="s">
        <v>1617</v>
      </c>
      <c r="B1405" s="429"/>
      <c r="C1405" s="429"/>
      <c r="D1405" s="429"/>
      <c r="E1405" s="429"/>
      <c r="F1405" s="429"/>
      <c r="EH1405" s="3"/>
      <c r="GS1405" s="2"/>
      <c r="GT1405" s="4"/>
      <c r="GU1405" s="4"/>
      <c r="GV1405" s="4"/>
      <c r="GW1405" s="4"/>
      <c r="GX1405" s="4"/>
      <c r="GY1405" s="4"/>
      <c r="GZ1405" s="4"/>
      <c r="HA1405" s="4"/>
      <c r="HG1405" s="134"/>
    </row>
    <row r="1406" spans="1:256" ht="22.5" customHeight="1" x14ac:dyDescent="0.2">
      <c r="A1406" s="108" t="s">
        <v>14</v>
      </c>
      <c r="B1406" s="397" t="s">
        <v>1618</v>
      </c>
      <c r="C1406" s="379" t="s">
        <v>1530</v>
      </c>
      <c r="D1406" s="389">
        <f>180.35*1.055*1.05</f>
        <v>199.78</v>
      </c>
      <c r="E1406" s="14">
        <f>D1406*20%</f>
        <v>39.96</v>
      </c>
      <c r="F1406" s="97">
        <f>D1406+E1406</f>
        <v>239.74</v>
      </c>
      <c r="EH1406" s="3"/>
      <c r="GS1406" s="2"/>
      <c r="GT1406" s="4"/>
      <c r="GU1406" s="4"/>
      <c r="GV1406" s="4"/>
      <c r="GW1406" s="4"/>
      <c r="GX1406" s="4"/>
      <c r="GY1406" s="4"/>
      <c r="GZ1406" s="4"/>
      <c r="HA1406" s="4"/>
      <c r="HF1406" s="171"/>
      <c r="HG1406" s="134"/>
    </row>
    <row r="1407" spans="1:256" ht="21.75" customHeight="1" x14ac:dyDescent="0.2">
      <c r="A1407" s="108" t="s">
        <v>26</v>
      </c>
      <c r="B1407" s="430" t="s">
        <v>1619</v>
      </c>
      <c r="C1407" s="430"/>
      <c r="D1407" s="430"/>
      <c r="E1407" s="430"/>
      <c r="F1407" s="430"/>
      <c r="EH1407" s="3"/>
      <c r="GS1407" s="2"/>
      <c r="GT1407" s="4"/>
      <c r="GU1407" s="4"/>
      <c r="GV1407" s="4"/>
      <c r="GW1407" s="4"/>
      <c r="GX1407" s="4"/>
      <c r="GY1407" s="4"/>
      <c r="GZ1407" s="4"/>
      <c r="HA1407" s="4"/>
      <c r="HG1407" s="134"/>
    </row>
    <row r="1408" spans="1:256" ht="27.75" x14ac:dyDescent="0.2">
      <c r="A1408" s="108" t="s">
        <v>563</v>
      </c>
      <c r="B1408" s="179" t="s">
        <v>1620</v>
      </c>
      <c r="C1408" s="379" t="s">
        <v>1621</v>
      </c>
      <c r="D1408" s="389">
        <f>4.2*1.055*1.05</f>
        <v>4.6500000000000004</v>
      </c>
      <c r="E1408" s="14">
        <f>D1408*20%</f>
        <v>0.93</v>
      </c>
      <c r="F1408" s="97">
        <f>D1408+E1408</f>
        <v>5.58</v>
      </c>
      <c r="EH1408" s="3"/>
      <c r="GS1408" s="2"/>
      <c r="GT1408" s="4"/>
      <c r="GU1408" s="4"/>
      <c r="GV1408" s="4"/>
      <c r="GW1408" s="4"/>
      <c r="GX1408" s="4"/>
      <c r="GY1408" s="4"/>
      <c r="GZ1408" s="4"/>
      <c r="HA1408" s="4"/>
      <c r="HF1408" s="171"/>
      <c r="HG1408" s="134"/>
    </row>
    <row r="1409" spans="1:256" ht="27.75" x14ac:dyDescent="0.2">
      <c r="A1409" s="404" t="s">
        <v>565</v>
      </c>
      <c r="B1409" s="179" t="s">
        <v>1622</v>
      </c>
      <c r="C1409" s="379" t="s">
        <v>1623</v>
      </c>
      <c r="D1409" s="389">
        <f>4.4*1.055*1.05</f>
        <v>4.87</v>
      </c>
      <c r="E1409" s="14">
        <f>D1409*20%</f>
        <v>0.97</v>
      </c>
      <c r="F1409" s="97">
        <f>D1409+E1409</f>
        <v>5.84</v>
      </c>
      <c r="EH1409" s="3"/>
      <c r="GS1409" s="2"/>
      <c r="GT1409" s="4"/>
      <c r="GU1409" s="4"/>
      <c r="GV1409" s="4"/>
      <c r="GW1409" s="4"/>
      <c r="GX1409" s="4"/>
      <c r="GY1409" s="4"/>
      <c r="GZ1409" s="4"/>
      <c r="HA1409" s="4"/>
      <c r="HF1409" s="171"/>
      <c r="HG1409" s="134"/>
      <c r="IU1409" s="359">
        <v>3.74</v>
      </c>
      <c r="IV1409" s="123">
        <f>3.74*1.045</f>
        <v>3.91</v>
      </c>
    </row>
    <row r="1410" spans="1:256" ht="42" customHeight="1" x14ac:dyDescent="0.2">
      <c r="A1410" s="108" t="s">
        <v>567</v>
      </c>
      <c r="B1410" s="179" t="s">
        <v>1624</v>
      </c>
      <c r="C1410" s="379" t="s">
        <v>1621</v>
      </c>
      <c r="D1410" s="389">
        <f>3.42*1.055*1.05</f>
        <v>3.79</v>
      </c>
      <c r="E1410" s="14">
        <f>D1410*20%</f>
        <v>0.76</v>
      </c>
      <c r="F1410" s="97">
        <f>D1410+E1410</f>
        <v>4.55</v>
      </c>
      <c r="EH1410" s="3"/>
      <c r="GS1410" s="2"/>
      <c r="GT1410" s="4"/>
      <c r="GU1410" s="4"/>
      <c r="GV1410" s="4"/>
      <c r="GW1410" s="4"/>
      <c r="GX1410" s="4"/>
      <c r="GY1410" s="4"/>
      <c r="GZ1410" s="4"/>
      <c r="HA1410" s="4"/>
      <c r="HF1410" s="171"/>
      <c r="HG1410" s="134"/>
      <c r="IU1410">
        <v>1.54</v>
      </c>
      <c r="IV1410" s="134">
        <f>1.54*1.045</f>
        <v>1.61</v>
      </c>
    </row>
    <row r="1411" spans="1:256" ht="15.75" x14ac:dyDescent="0.2">
      <c r="A1411" s="108" t="s">
        <v>29</v>
      </c>
      <c r="B1411" s="430" t="s">
        <v>1625</v>
      </c>
      <c r="C1411" s="430"/>
      <c r="D1411" s="430"/>
      <c r="E1411" s="430"/>
      <c r="F1411" s="430"/>
      <c r="EH1411" s="3"/>
      <c r="GS1411" s="2"/>
      <c r="GT1411" s="4"/>
      <c r="GU1411" s="4"/>
      <c r="GV1411" s="4"/>
      <c r="GW1411" s="4"/>
      <c r="GX1411" s="4"/>
      <c r="GY1411" s="4"/>
      <c r="GZ1411" s="4"/>
      <c r="HA1411" s="4"/>
      <c r="HG1411" s="134"/>
    </row>
    <row r="1412" spans="1:256" ht="20.25" customHeight="1" x14ac:dyDescent="0.2">
      <c r="A1412" s="404" t="s">
        <v>578</v>
      </c>
      <c r="B1412" s="179" t="s">
        <v>1626</v>
      </c>
      <c r="C1412" s="379" t="s">
        <v>1627</v>
      </c>
      <c r="D1412" s="389">
        <f>377.37*1.04*1.04*1.055*1.05</f>
        <v>452.14</v>
      </c>
      <c r="E1412" s="14">
        <f>D1412*20%</f>
        <v>90.43</v>
      </c>
      <c r="F1412" s="97">
        <f>D1412+E1412</f>
        <v>542.57000000000005</v>
      </c>
      <c r="EH1412" s="3"/>
      <c r="GS1412" s="2"/>
      <c r="GT1412" s="4"/>
      <c r="GU1412" s="4"/>
      <c r="GV1412" s="4"/>
      <c r="GW1412" s="4"/>
      <c r="GX1412" s="4"/>
      <c r="GY1412" s="4"/>
      <c r="GZ1412" s="4"/>
      <c r="HA1412" s="4"/>
      <c r="HF1412" s="171"/>
      <c r="HG1412" s="134"/>
      <c r="IU1412" s="359">
        <v>347.23</v>
      </c>
      <c r="IV1412" s="123">
        <f>347.23*1.045</f>
        <v>362.86</v>
      </c>
    </row>
    <row r="1413" spans="1:256" ht="21" customHeight="1" x14ac:dyDescent="0.2">
      <c r="A1413" s="108" t="s">
        <v>580</v>
      </c>
      <c r="B1413" s="179" t="s">
        <v>1628</v>
      </c>
      <c r="C1413" s="379" t="s">
        <v>1627</v>
      </c>
      <c r="D1413" s="389">
        <f>122.93*1.055*1.05</f>
        <v>136.18</v>
      </c>
      <c r="E1413" s="14">
        <f>D1413*20%</f>
        <v>27.24</v>
      </c>
      <c r="F1413" s="97">
        <f>D1413+E1413</f>
        <v>163.41999999999999</v>
      </c>
      <c r="EH1413" s="3"/>
      <c r="GS1413" s="2"/>
      <c r="GT1413" s="4"/>
      <c r="GU1413" s="4"/>
      <c r="GV1413" s="4"/>
      <c r="GW1413" s="4"/>
      <c r="GX1413" s="4"/>
      <c r="GY1413" s="4"/>
      <c r="GZ1413" s="4"/>
      <c r="HA1413" s="4"/>
      <c r="HF1413" s="171"/>
      <c r="HG1413" s="134"/>
    </row>
    <row r="1414" spans="1:256" ht="20.25" customHeight="1" x14ac:dyDescent="0.2">
      <c r="A1414" s="404" t="s">
        <v>582</v>
      </c>
      <c r="B1414" s="179" t="s">
        <v>1629</v>
      </c>
      <c r="C1414" s="379" t="s">
        <v>1627</v>
      </c>
      <c r="D1414" s="389">
        <f>96.67*1.04*1.04*1.055*1.05</f>
        <v>115.82</v>
      </c>
      <c r="E1414" s="14">
        <f>D1414*20%</f>
        <v>23.16</v>
      </c>
      <c r="F1414" s="97">
        <f>D1414+E1414</f>
        <v>138.97999999999999</v>
      </c>
      <c r="EH1414" s="3"/>
      <c r="GS1414" s="2"/>
      <c r="GT1414" s="4"/>
      <c r="GU1414" s="4"/>
      <c r="GV1414" s="4"/>
      <c r="GW1414" s="4"/>
      <c r="GX1414" s="4"/>
      <c r="GY1414" s="4"/>
      <c r="GZ1414" s="4"/>
      <c r="HA1414" s="4"/>
      <c r="HF1414" s="171"/>
      <c r="HG1414" s="134"/>
      <c r="IU1414" s="359">
        <v>88.95</v>
      </c>
      <c r="IV1414" s="123">
        <f>88.95*1.045</f>
        <v>92.95</v>
      </c>
    </row>
    <row r="1415" spans="1:256" ht="46.5" x14ac:dyDescent="0.2">
      <c r="A1415" s="108" t="s">
        <v>584</v>
      </c>
      <c r="B1415" s="381" t="s">
        <v>1630</v>
      </c>
      <c r="C1415" s="379" t="s">
        <v>1172</v>
      </c>
      <c r="D1415" s="389">
        <f>677.17*1.055*1.05</f>
        <v>750.14</v>
      </c>
      <c r="E1415" s="14">
        <f>D1415*20%</f>
        <v>150.03</v>
      </c>
      <c r="F1415" s="97">
        <f>D1415+E1415</f>
        <v>900.17</v>
      </c>
      <c r="EH1415" s="3"/>
      <c r="GS1415" s="2"/>
      <c r="GT1415" s="4"/>
      <c r="GU1415" s="4"/>
      <c r="GV1415" s="4"/>
      <c r="GW1415" s="4"/>
      <c r="GX1415" s="4"/>
      <c r="GY1415" s="4"/>
      <c r="GZ1415" s="4"/>
      <c r="HA1415" s="4"/>
      <c r="HF1415" s="181"/>
      <c r="HG1415" s="134"/>
    </row>
    <row r="1416" spans="1:256" ht="15.75" customHeight="1" x14ac:dyDescent="0.2">
      <c r="A1416" s="108" t="s">
        <v>31</v>
      </c>
      <c r="B1416" s="430" t="s">
        <v>1631</v>
      </c>
      <c r="C1416" s="430"/>
      <c r="D1416" s="430"/>
      <c r="E1416" s="430"/>
      <c r="F1416" s="430"/>
      <c r="EH1416" s="3"/>
      <c r="GS1416" s="2"/>
      <c r="GT1416" s="4"/>
      <c r="GU1416" s="4"/>
      <c r="GV1416" s="4"/>
      <c r="GW1416" s="4"/>
      <c r="GX1416" s="4"/>
      <c r="GY1416" s="4"/>
      <c r="GZ1416" s="4"/>
      <c r="HA1416" s="4"/>
      <c r="HG1416" s="134"/>
    </row>
    <row r="1417" spans="1:256" ht="48" customHeight="1" x14ac:dyDescent="0.2">
      <c r="A1417" s="108" t="s">
        <v>627</v>
      </c>
      <c r="B1417" s="381" t="s">
        <v>2043</v>
      </c>
      <c r="C1417" s="379" t="s">
        <v>1633</v>
      </c>
      <c r="D1417" s="389">
        <f>242.88*1.055*1.05</f>
        <v>269.05</v>
      </c>
      <c r="E1417" s="14">
        <f>D1417*20%</f>
        <v>53.81</v>
      </c>
      <c r="F1417" s="97">
        <f>D1417+E1417</f>
        <v>322.86</v>
      </c>
      <c r="EH1417" s="3"/>
      <c r="GS1417" s="2"/>
      <c r="GT1417" s="4"/>
      <c r="GU1417" s="4"/>
      <c r="GV1417" s="4"/>
      <c r="GW1417" s="4"/>
      <c r="GX1417" s="4"/>
      <c r="GY1417" s="4"/>
      <c r="GZ1417" s="4"/>
      <c r="HA1417" s="4"/>
      <c r="HF1417" s="171"/>
      <c r="HG1417" s="134"/>
    </row>
    <row r="1418" spans="1:256" s="39" customFormat="1" ht="35.25" customHeight="1" x14ac:dyDescent="0.2">
      <c r="A1418" s="108" t="s">
        <v>628</v>
      </c>
      <c r="B1418" s="381" t="s">
        <v>1634</v>
      </c>
      <c r="C1418" s="379" t="s">
        <v>1633</v>
      </c>
      <c r="D1418" s="389">
        <f>265.65*1.04*1.04*1.055*1.05</f>
        <v>318.29000000000002</v>
      </c>
      <c r="E1418" s="14">
        <f>D1418*20%</f>
        <v>63.66</v>
      </c>
      <c r="F1418" s="97">
        <f>D1418+E1418</f>
        <v>381.95</v>
      </c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EH1418" s="3"/>
      <c r="GS1418" s="2"/>
      <c r="GT1418" s="4"/>
      <c r="GU1418" s="4"/>
      <c r="GV1418" s="4"/>
      <c r="GW1418" s="4"/>
      <c r="GX1418" s="4"/>
      <c r="GY1418" s="4"/>
      <c r="GZ1418" s="4"/>
      <c r="HA1418" s="4"/>
      <c r="HF1418" s="359"/>
      <c r="HG1418" s="182"/>
    </row>
    <row r="1419" spans="1:256" ht="62.25" customHeight="1" x14ac:dyDescent="0.2">
      <c r="A1419" s="108" t="s">
        <v>629</v>
      </c>
      <c r="B1419" s="381" t="s">
        <v>1635</v>
      </c>
      <c r="C1419" s="379" t="s">
        <v>1633</v>
      </c>
      <c r="D1419" s="389">
        <f>323.82*1.055*1.05</f>
        <v>358.71</v>
      </c>
      <c r="E1419" s="14">
        <f>D1419*20%</f>
        <v>71.739999999999995</v>
      </c>
      <c r="F1419" s="97">
        <f>D1419+E1419</f>
        <v>430.45</v>
      </c>
      <c r="EH1419" s="3"/>
      <c r="GS1419" s="2"/>
      <c r="GT1419" s="4"/>
      <c r="GU1419" s="4"/>
      <c r="GV1419" s="4"/>
      <c r="GW1419" s="4"/>
      <c r="GX1419" s="4"/>
      <c r="GY1419" s="4"/>
      <c r="GZ1419" s="4"/>
      <c r="HA1419" s="4"/>
      <c r="HF1419" s="171"/>
      <c r="HG1419" s="134"/>
    </row>
    <row r="1420" spans="1:256" ht="51.75" customHeight="1" x14ac:dyDescent="0.2">
      <c r="A1420" s="108" t="s">
        <v>631</v>
      </c>
      <c r="B1420" s="381" t="s">
        <v>1636</v>
      </c>
      <c r="C1420" s="379" t="s">
        <v>1633</v>
      </c>
      <c r="D1420" s="389">
        <f>357.51*1.055*1.05</f>
        <v>396.03</v>
      </c>
      <c r="E1420" s="14">
        <f>D1420*20%</f>
        <v>79.209999999999994</v>
      </c>
      <c r="F1420" s="97">
        <f>D1420+E1420</f>
        <v>475.24</v>
      </c>
      <c r="EH1420" s="3"/>
      <c r="GS1420" s="2"/>
      <c r="GT1420" s="4"/>
      <c r="GU1420" s="4"/>
      <c r="GV1420" s="4"/>
      <c r="GW1420" s="4"/>
      <c r="GX1420" s="4"/>
      <c r="GY1420" s="4"/>
      <c r="GZ1420" s="4"/>
      <c r="HA1420" s="4"/>
      <c r="HF1420" s="171"/>
      <c r="HG1420" s="134"/>
    </row>
    <row r="1421" spans="1:256" s="39" customFormat="1" ht="44.25" hidden="1" customHeight="1" x14ac:dyDescent="0.2">
      <c r="A1421" s="108" t="s">
        <v>33</v>
      </c>
      <c r="B1421" s="381" t="s">
        <v>1637</v>
      </c>
      <c r="C1421" s="122" t="s">
        <v>228</v>
      </c>
      <c r="D1421" s="389">
        <v>1064.1500000000001</v>
      </c>
      <c r="E1421" s="14">
        <f>D1421*20%</f>
        <v>212.83</v>
      </c>
      <c r="F1421" s="97">
        <f>D1421+E1421</f>
        <v>1276.98</v>
      </c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EH1421" s="3"/>
      <c r="GS1421" s="2"/>
      <c r="GT1421" s="4"/>
      <c r="GU1421" s="4"/>
      <c r="GV1421" s="4"/>
      <c r="GW1421" s="4"/>
      <c r="GX1421" s="4"/>
      <c r="GY1421" s="4"/>
      <c r="GZ1421" s="4"/>
      <c r="HA1421" s="4"/>
      <c r="HF1421" s="360"/>
      <c r="HG1421" s="182"/>
    </row>
    <row r="1422" spans="1:256" ht="34.5" customHeight="1" x14ac:dyDescent="0.2">
      <c r="A1422" s="429" t="s">
        <v>1638</v>
      </c>
      <c r="B1422" s="429"/>
      <c r="C1422" s="429"/>
      <c r="D1422" s="429"/>
      <c r="E1422" s="429"/>
      <c r="F1422" s="429"/>
      <c r="EH1422" s="3"/>
      <c r="GS1422" s="2"/>
      <c r="GT1422" s="4"/>
      <c r="GU1422" s="4"/>
      <c r="GV1422" s="4"/>
      <c r="GW1422" s="4"/>
      <c r="GX1422" s="4"/>
      <c r="GY1422" s="4"/>
      <c r="GZ1422" s="4"/>
      <c r="HA1422" s="4"/>
      <c r="HG1422" s="134"/>
    </row>
    <row r="1423" spans="1:256" ht="49.5" customHeight="1" x14ac:dyDescent="0.2">
      <c r="A1423" s="108" t="s">
        <v>14</v>
      </c>
      <c r="B1423" s="433" t="s">
        <v>1639</v>
      </c>
      <c r="C1423" s="433"/>
      <c r="D1423" s="433"/>
      <c r="E1423" s="433"/>
      <c r="F1423" s="433"/>
      <c r="EH1423" s="3"/>
      <c r="GS1423" s="2"/>
      <c r="GT1423" s="4"/>
      <c r="GU1423" s="4"/>
      <c r="GV1423" s="4"/>
      <c r="GW1423" s="4"/>
      <c r="GX1423" s="4"/>
      <c r="GY1423" s="4"/>
      <c r="GZ1423" s="4"/>
      <c r="HA1423" s="4"/>
      <c r="HG1423" s="134"/>
    </row>
    <row r="1424" spans="1:256" ht="35.25" customHeight="1" x14ac:dyDescent="0.2">
      <c r="A1424" s="404" t="s">
        <v>200</v>
      </c>
      <c r="B1424" s="430" t="s">
        <v>1640</v>
      </c>
      <c r="C1424" s="430"/>
      <c r="D1424" s="430"/>
      <c r="E1424" s="430"/>
      <c r="F1424" s="430"/>
      <c r="EH1424" s="3"/>
      <c r="GS1424" s="2"/>
      <c r="GT1424" s="4"/>
      <c r="GU1424" s="4"/>
      <c r="GV1424" s="4"/>
      <c r="GW1424" s="4"/>
      <c r="GX1424" s="4"/>
      <c r="GY1424" s="4"/>
      <c r="GZ1424" s="4"/>
      <c r="HA1424" s="4"/>
      <c r="HG1424" s="134"/>
    </row>
    <row r="1425" spans="1:256" ht="17.25" customHeight="1" x14ac:dyDescent="0.2">
      <c r="A1425" s="108" t="s">
        <v>1337</v>
      </c>
      <c r="B1425" s="381" t="s">
        <v>1641</v>
      </c>
      <c r="C1425" s="379" t="s">
        <v>1627</v>
      </c>
      <c r="D1425" s="389">
        <f>47.51*1.04*1.04*1.055*1.05</f>
        <v>56.92</v>
      </c>
      <c r="E1425" s="14">
        <f>D1425*20%</f>
        <v>11.38</v>
      </c>
      <c r="F1425" s="97">
        <f t="shared" ref="F1425:F1434" si="135">D1425+E1425</f>
        <v>68.3</v>
      </c>
      <c r="EH1425" s="3"/>
      <c r="GS1425" s="2"/>
      <c r="GT1425" s="4"/>
      <c r="GU1425" s="4"/>
      <c r="GV1425" s="4"/>
      <c r="GW1425" s="4"/>
      <c r="GX1425" s="4"/>
      <c r="GY1425" s="4"/>
      <c r="GZ1425" s="4"/>
      <c r="HA1425" s="4"/>
      <c r="HF1425" s="171"/>
      <c r="HG1425" s="134"/>
    </row>
    <row r="1426" spans="1:256" ht="16.5" customHeight="1" x14ac:dyDescent="0.2">
      <c r="A1426" s="108" t="s">
        <v>1339</v>
      </c>
      <c r="B1426" s="381" t="s">
        <v>1642</v>
      </c>
      <c r="C1426" s="379" t="s">
        <v>1627</v>
      </c>
      <c r="D1426" s="389">
        <f>57.02*1.055*1.05</f>
        <v>63.16</v>
      </c>
      <c r="E1426" s="14">
        <f>D1426*20%</f>
        <v>12.63</v>
      </c>
      <c r="F1426" s="97">
        <f t="shared" si="135"/>
        <v>75.790000000000006</v>
      </c>
      <c r="EH1426" s="3"/>
      <c r="GS1426" s="2"/>
      <c r="GT1426" s="4"/>
      <c r="GU1426" s="4"/>
      <c r="GV1426" s="4"/>
      <c r="GW1426" s="4"/>
      <c r="GX1426" s="4"/>
      <c r="GY1426" s="4"/>
      <c r="GZ1426" s="4"/>
      <c r="HA1426" s="4"/>
      <c r="HF1426" s="171"/>
      <c r="HG1426" s="134"/>
    </row>
    <row r="1427" spans="1:256" ht="16.5" customHeight="1" x14ac:dyDescent="0.2">
      <c r="A1427" s="108" t="s">
        <v>1341</v>
      </c>
      <c r="B1427" s="434" t="s">
        <v>1643</v>
      </c>
      <c r="C1427" s="434"/>
      <c r="D1427" s="434"/>
      <c r="E1427" s="434"/>
      <c r="F1427" s="434"/>
      <c r="EH1427" s="3"/>
      <c r="GS1427" s="183"/>
      <c r="GT1427" s="4"/>
      <c r="GU1427" s="4"/>
      <c r="GV1427" s="4"/>
      <c r="GW1427" s="4"/>
      <c r="GX1427" s="4"/>
      <c r="GY1427" s="4"/>
      <c r="GZ1427" s="4"/>
      <c r="HA1427" s="4"/>
      <c r="HF1427" s="171"/>
      <c r="HG1427" s="134"/>
    </row>
    <row r="1428" spans="1:256" ht="16.5" customHeight="1" x14ac:dyDescent="0.2">
      <c r="A1428" s="108" t="s">
        <v>1644</v>
      </c>
      <c r="B1428" s="381" t="s">
        <v>1645</v>
      </c>
      <c r="C1428" s="379" t="s">
        <v>1627</v>
      </c>
      <c r="D1428" s="389">
        <f>105.93*1.04*1.055*1.05</f>
        <v>122.04</v>
      </c>
      <c r="E1428" s="14">
        <f t="shared" ref="E1428:E1434" si="136">D1428*20%</f>
        <v>24.41</v>
      </c>
      <c r="F1428" s="97">
        <f>D1428+E1428</f>
        <v>146.44999999999999</v>
      </c>
      <c r="EH1428" s="3"/>
      <c r="GS1428" s="184"/>
      <c r="GT1428" s="4"/>
      <c r="GU1428" s="4"/>
      <c r="GV1428" s="4"/>
      <c r="GW1428" s="4"/>
      <c r="GX1428" s="4"/>
      <c r="GY1428" s="4"/>
      <c r="GZ1428" s="4"/>
      <c r="HA1428" s="4"/>
      <c r="HF1428" s="171"/>
      <c r="HG1428" s="134"/>
    </row>
    <row r="1429" spans="1:256" ht="16.5" customHeight="1" x14ac:dyDescent="0.2">
      <c r="A1429" s="108" t="s">
        <v>1646</v>
      </c>
      <c r="B1429" s="381" t="s">
        <v>1647</v>
      </c>
      <c r="C1429" s="379" t="s">
        <v>1627</v>
      </c>
      <c r="D1429" s="389">
        <f>86.44*1.04*1.04*1.055*1.05</f>
        <v>103.57</v>
      </c>
      <c r="E1429" s="14">
        <f t="shared" si="136"/>
        <v>20.71</v>
      </c>
      <c r="F1429" s="97">
        <f>D1429+E1429</f>
        <v>124.28</v>
      </c>
      <c r="EH1429" s="3"/>
      <c r="GS1429" s="184"/>
      <c r="GT1429" s="4"/>
      <c r="GU1429" s="4"/>
      <c r="GV1429" s="4"/>
      <c r="GW1429" s="4"/>
      <c r="GX1429" s="4"/>
      <c r="GY1429" s="4"/>
      <c r="GZ1429" s="4"/>
      <c r="HA1429" s="4"/>
      <c r="HF1429" s="171"/>
      <c r="HG1429" s="134"/>
    </row>
    <row r="1430" spans="1:256" ht="31.5" customHeight="1" x14ac:dyDescent="0.2">
      <c r="A1430" s="108" t="s">
        <v>204</v>
      </c>
      <c r="B1430" s="392" t="s">
        <v>1648</v>
      </c>
      <c r="C1430" s="379" t="s">
        <v>1627</v>
      </c>
      <c r="D1430" s="389">
        <f>231.48*1.055*1.05</f>
        <v>256.42</v>
      </c>
      <c r="E1430" s="14">
        <f t="shared" si="136"/>
        <v>51.28</v>
      </c>
      <c r="F1430" s="97">
        <f t="shared" si="135"/>
        <v>307.7</v>
      </c>
      <c r="EH1430" s="3"/>
      <c r="GS1430" s="2"/>
      <c r="GT1430" s="4"/>
      <c r="GU1430" s="4"/>
      <c r="GV1430" s="4"/>
      <c r="GW1430" s="4"/>
      <c r="GX1430" s="4"/>
      <c r="GY1430" s="4"/>
      <c r="GZ1430" s="4"/>
      <c r="HA1430" s="4"/>
      <c r="HF1430" s="171"/>
      <c r="HG1430" s="134"/>
    </row>
    <row r="1431" spans="1:256" ht="31.5" customHeight="1" x14ac:dyDescent="0.2">
      <c r="A1431" s="108" t="s">
        <v>521</v>
      </c>
      <c r="B1431" s="392" t="s">
        <v>1649</v>
      </c>
      <c r="C1431" s="379" t="s">
        <v>1627</v>
      </c>
      <c r="D1431" s="389">
        <f>349.09*1.055*1.05</f>
        <v>386.7</v>
      </c>
      <c r="E1431" s="14">
        <f t="shared" si="136"/>
        <v>77.34</v>
      </c>
      <c r="F1431" s="97">
        <f t="shared" si="135"/>
        <v>464.04</v>
      </c>
      <c r="EH1431" s="3"/>
      <c r="GR1431" s="185"/>
      <c r="GS1431" s="2"/>
      <c r="GT1431" s="4"/>
      <c r="GU1431" s="4"/>
      <c r="GV1431" s="4"/>
      <c r="GW1431" s="4"/>
      <c r="GX1431" s="4"/>
      <c r="GY1431" s="4"/>
      <c r="GZ1431" s="4"/>
      <c r="HA1431" s="4"/>
      <c r="HF1431" s="171"/>
      <c r="HG1431" s="134"/>
    </row>
    <row r="1432" spans="1:256" ht="30.75" customHeight="1" x14ac:dyDescent="0.2">
      <c r="A1432" s="404" t="s">
        <v>523</v>
      </c>
      <c r="B1432" s="392" t="s">
        <v>1650</v>
      </c>
      <c r="C1432" s="379" t="s">
        <v>1627</v>
      </c>
      <c r="D1432" s="389">
        <f>231.48*1.055*1.05</f>
        <v>256.42</v>
      </c>
      <c r="E1432" s="14">
        <f t="shared" si="136"/>
        <v>51.28</v>
      </c>
      <c r="F1432" s="97">
        <f t="shared" si="135"/>
        <v>307.7</v>
      </c>
      <c r="EH1432" s="3"/>
      <c r="GS1432" s="2"/>
      <c r="GT1432" s="4"/>
      <c r="GU1432" s="4"/>
      <c r="GV1432" s="4"/>
      <c r="GW1432" s="4"/>
      <c r="GX1432" s="4"/>
      <c r="GY1432" s="4"/>
      <c r="GZ1432" s="4"/>
      <c r="HA1432" s="4"/>
      <c r="HF1432" s="171"/>
      <c r="HG1432" s="134"/>
      <c r="IU1432" s="359">
        <v>197</v>
      </c>
      <c r="IV1432" s="123">
        <f>197*1.045</f>
        <v>205.87</v>
      </c>
    </row>
    <row r="1433" spans="1:256" ht="21" customHeight="1" x14ac:dyDescent="0.2">
      <c r="A1433" s="108" t="s">
        <v>525</v>
      </c>
      <c r="B1433" s="392" t="s">
        <v>1651</v>
      </c>
      <c r="C1433" s="379" t="s">
        <v>1627</v>
      </c>
      <c r="D1433" s="389">
        <f>558.53*1.055*1.05</f>
        <v>618.71</v>
      </c>
      <c r="E1433" s="14">
        <f t="shared" si="136"/>
        <v>123.74</v>
      </c>
      <c r="F1433" s="97">
        <f>D1433+E1433</f>
        <v>742.45</v>
      </c>
      <c r="EH1433" s="3"/>
      <c r="GS1433" s="2"/>
      <c r="GT1433" s="4"/>
      <c r="GU1433" s="4"/>
      <c r="GV1433" s="4"/>
      <c r="GW1433" s="4"/>
      <c r="GX1433" s="4"/>
      <c r="GY1433" s="4"/>
      <c r="GZ1433" s="4"/>
      <c r="HA1433" s="4"/>
      <c r="HF1433" s="171"/>
      <c r="HG1433" s="134"/>
    </row>
    <row r="1434" spans="1:256" ht="37.5" customHeight="1" x14ac:dyDescent="0.2">
      <c r="A1434" s="404" t="s">
        <v>527</v>
      </c>
      <c r="B1434" s="392" t="s">
        <v>1652</v>
      </c>
      <c r="C1434" s="379" t="s">
        <v>1627</v>
      </c>
      <c r="D1434" s="389">
        <f>181.67*1.04*1.04*1.055*1.05</f>
        <v>217.67</v>
      </c>
      <c r="E1434" s="14">
        <f t="shared" si="136"/>
        <v>43.53</v>
      </c>
      <c r="F1434" s="97">
        <f t="shared" si="135"/>
        <v>261.2</v>
      </c>
      <c r="EH1434" s="3"/>
      <c r="GS1434" s="2"/>
      <c r="GT1434" s="4"/>
      <c r="GU1434" s="4"/>
      <c r="GV1434" s="4"/>
      <c r="GW1434" s="4"/>
      <c r="GX1434" s="4"/>
      <c r="GY1434" s="4"/>
      <c r="GZ1434" s="4"/>
      <c r="HA1434" s="4"/>
      <c r="HF1434" s="171"/>
      <c r="HG1434" s="134"/>
      <c r="IU1434" s="359">
        <v>167.16</v>
      </c>
      <c r="IV1434" s="123">
        <f>167.16*1.045</f>
        <v>174.68</v>
      </c>
    </row>
    <row r="1435" spans="1:256" ht="18" customHeight="1" x14ac:dyDescent="0.2">
      <c r="A1435" s="108" t="s">
        <v>196</v>
      </c>
      <c r="B1435" s="431" t="s">
        <v>1653</v>
      </c>
      <c r="C1435" s="431"/>
      <c r="D1435" s="431"/>
      <c r="E1435" s="431"/>
      <c r="F1435" s="431"/>
      <c r="EH1435" s="3"/>
      <c r="GS1435" s="2"/>
      <c r="GT1435" s="4"/>
      <c r="GU1435" s="4"/>
      <c r="GV1435" s="4"/>
      <c r="GW1435" s="4"/>
      <c r="GX1435" s="4"/>
      <c r="GY1435" s="4"/>
      <c r="GZ1435" s="4"/>
      <c r="HA1435" s="4"/>
      <c r="HG1435" s="134"/>
    </row>
    <row r="1436" spans="1:256" ht="21" customHeight="1" x14ac:dyDescent="0.2">
      <c r="A1436" s="404" t="s">
        <v>563</v>
      </c>
      <c r="B1436" s="179" t="s">
        <v>1654</v>
      </c>
      <c r="C1436" s="379" t="s">
        <v>1627</v>
      </c>
      <c r="D1436" s="389">
        <f>220.3*1.055*1.05</f>
        <v>244.04</v>
      </c>
      <c r="E1436" s="14">
        <f>D1436*20%</f>
        <v>48.81</v>
      </c>
      <c r="F1436" s="97">
        <f t="shared" ref="F1436:F1444" si="137">D1436+E1436</f>
        <v>292.85000000000002</v>
      </c>
      <c r="EH1436" s="3"/>
      <c r="GS1436" s="2"/>
      <c r="GT1436" s="4"/>
      <c r="GU1436" s="4"/>
      <c r="GV1436" s="4"/>
      <c r="GW1436" s="4"/>
      <c r="GX1436" s="4"/>
      <c r="GY1436" s="4"/>
      <c r="GZ1436" s="4"/>
      <c r="HA1436" s="4"/>
      <c r="HF1436" s="171"/>
      <c r="HG1436" s="134"/>
      <c r="IU1436" s="359">
        <v>182.51</v>
      </c>
      <c r="IV1436" s="123">
        <f>182.51*1.045</f>
        <v>190.72</v>
      </c>
    </row>
    <row r="1437" spans="1:256" ht="35.25" customHeight="1" x14ac:dyDescent="0.2">
      <c r="A1437" s="404" t="s">
        <v>565</v>
      </c>
      <c r="B1437" s="179" t="s">
        <v>1655</v>
      </c>
      <c r="C1437" s="379" t="s">
        <v>1627</v>
      </c>
      <c r="D1437" s="389">
        <f>140.83*1.04*1.04*1.055*1.05</f>
        <v>168.73</v>
      </c>
      <c r="E1437" s="14">
        <f>D1437*20%</f>
        <v>33.75</v>
      </c>
      <c r="F1437" s="97">
        <f t="shared" si="137"/>
        <v>202.48</v>
      </c>
      <c r="EH1437" s="3"/>
      <c r="GS1437" s="2"/>
      <c r="GT1437" s="4"/>
      <c r="GU1437" s="4"/>
      <c r="GV1437" s="4"/>
      <c r="GW1437" s="4"/>
      <c r="GX1437" s="4"/>
      <c r="GY1437" s="4"/>
      <c r="GZ1437" s="4"/>
      <c r="HA1437" s="4"/>
      <c r="HF1437" s="171"/>
      <c r="HG1437" s="134"/>
      <c r="IU1437" s="359">
        <v>129.58000000000001</v>
      </c>
      <c r="IV1437" s="123">
        <f>129.58*1.045</f>
        <v>135.41</v>
      </c>
    </row>
    <row r="1438" spans="1:256" ht="71.25" customHeight="1" x14ac:dyDescent="0.2">
      <c r="A1438" s="108" t="s">
        <v>29</v>
      </c>
      <c r="B1438" s="397" t="s">
        <v>1656</v>
      </c>
      <c r="C1438" s="379" t="s">
        <v>236</v>
      </c>
      <c r="D1438" s="389">
        <f>1480.6*1.04*1.04*1.055*1.05</f>
        <v>1773.97</v>
      </c>
      <c r="E1438" s="14">
        <f>D1438*20%</f>
        <v>354.79</v>
      </c>
      <c r="F1438" s="97">
        <f t="shared" si="137"/>
        <v>2128.7600000000002</v>
      </c>
      <c r="EH1438" s="3"/>
      <c r="GS1438" s="2"/>
      <c r="GT1438" s="4"/>
      <c r="GU1438" s="4"/>
      <c r="GV1438" s="4"/>
      <c r="GW1438" s="4"/>
      <c r="GX1438" s="4"/>
      <c r="GY1438" s="4"/>
      <c r="GZ1438" s="4"/>
      <c r="HA1438" s="4"/>
      <c r="HF1438" s="171"/>
      <c r="HG1438" s="134"/>
      <c r="IU1438" s="359">
        <v>1639.14</v>
      </c>
      <c r="IV1438" s="123">
        <f>1639.14*1.045</f>
        <v>1712.9</v>
      </c>
    </row>
    <row r="1439" spans="1:256" ht="34.5" customHeight="1" x14ac:dyDescent="0.2">
      <c r="A1439" s="108" t="s">
        <v>31</v>
      </c>
      <c r="B1439" s="435" t="s">
        <v>1657</v>
      </c>
      <c r="C1439" s="435"/>
      <c r="D1439" s="435"/>
      <c r="E1439" s="435"/>
      <c r="F1439" s="435"/>
      <c r="EH1439" s="3"/>
      <c r="GS1439" s="2"/>
      <c r="GT1439" s="4"/>
      <c r="GU1439" s="4"/>
      <c r="GV1439" s="4"/>
      <c r="GW1439" s="4"/>
      <c r="GX1439" s="4"/>
      <c r="GY1439" s="4"/>
      <c r="GZ1439" s="4"/>
      <c r="HA1439" s="4"/>
      <c r="HF1439" s="171"/>
      <c r="HG1439" s="134"/>
      <c r="IU1439" s="360"/>
      <c r="IV1439" s="123"/>
    </row>
    <row r="1440" spans="1:256" ht="82.5" customHeight="1" x14ac:dyDescent="0.2">
      <c r="A1440" s="108" t="s">
        <v>627</v>
      </c>
      <c r="B1440" s="397" t="s">
        <v>2270</v>
      </c>
      <c r="C1440" s="379" t="s">
        <v>236</v>
      </c>
      <c r="D1440" s="389">
        <v>1955.95</v>
      </c>
      <c r="E1440" s="14">
        <f t="shared" ref="E1440:E1445" si="138">D1440*20%</f>
        <v>391.19</v>
      </c>
      <c r="F1440" s="97">
        <f t="shared" si="137"/>
        <v>2347.14</v>
      </c>
      <c r="EH1440" s="3"/>
      <c r="GS1440" s="2"/>
      <c r="GT1440" s="4"/>
      <c r="GU1440" s="4"/>
      <c r="GV1440" s="4"/>
      <c r="GW1440" s="4"/>
      <c r="GX1440" s="4"/>
      <c r="GY1440" s="4"/>
      <c r="GZ1440" s="4"/>
      <c r="HA1440" s="4"/>
      <c r="HF1440" s="171"/>
      <c r="HG1440" s="134"/>
      <c r="IU1440" s="360"/>
      <c r="IV1440" s="123"/>
    </row>
    <row r="1441" spans="1:256" ht="82.5" customHeight="1" x14ac:dyDescent="0.2">
      <c r="A1441" s="108" t="s">
        <v>628</v>
      </c>
      <c r="B1441" s="397" t="s">
        <v>2271</v>
      </c>
      <c r="C1441" s="379" t="s">
        <v>236</v>
      </c>
      <c r="D1441" s="389">
        <v>1390.77</v>
      </c>
      <c r="E1441" s="14">
        <f t="shared" si="138"/>
        <v>278.14999999999998</v>
      </c>
      <c r="F1441" s="97">
        <f t="shared" ref="F1441" si="139">D1441+E1441</f>
        <v>1668.92</v>
      </c>
      <c r="EH1441" s="3"/>
      <c r="GS1441" s="2"/>
      <c r="GT1441" s="4"/>
      <c r="GU1441" s="4"/>
      <c r="GV1441" s="4"/>
      <c r="GW1441" s="4"/>
      <c r="GX1441" s="4"/>
      <c r="GY1441" s="4"/>
      <c r="GZ1441" s="4"/>
      <c r="HA1441" s="4"/>
      <c r="HF1441" s="171"/>
      <c r="HG1441" s="134"/>
      <c r="IU1441" s="363"/>
      <c r="IV1441" s="123"/>
    </row>
    <row r="1442" spans="1:256" ht="84.75" customHeight="1" x14ac:dyDescent="0.2">
      <c r="A1442" s="108" t="s">
        <v>629</v>
      </c>
      <c r="B1442" s="397" t="s">
        <v>2272</v>
      </c>
      <c r="C1442" s="379" t="s">
        <v>236</v>
      </c>
      <c r="D1442" s="389">
        <v>1961.15</v>
      </c>
      <c r="E1442" s="14">
        <f t="shared" si="138"/>
        <v>392.23</v>
      </c>
      <c r="F1442" s="97">
        <f t="shared" si="137"/>
        <v>2353.38</v>
      </c>
      <c r="EH1442" s="3"/>
      <c r="GS1442" s="2"/>
      <c r="GT1442" s="4"/>
      <c r="GU1442" s="4"/>
      <c r="GV1442" s="4"/>
      <c r="GW1442" s="4"/>
      <c r="GX1442" s="4"/>
      <c r="GY1442" s="4"/>
      <c r="GZ1442" s="4"/>
      <c r="HA1442" s="4"/>
      <c r="HF1442" s="171"/>
      <c r="HG1442" s="134"/>
      <c r="IU1442" s="360"/>
      <c r="IV1442" s="123"/>
    </row>
    <row r="1443" spans="1:256" ht="76.5" customHeight="1" x14ac:dyDescent="0.2">
      <c r="A1443" s="108" t="s">
        <v>631</v>
      </c>
      <c r="B1443" s="397" t="s">
        <v>2273</v>
      </c>
      <c r="C1443" s="379" t="s">
        <v>236</v>
      </c>
      <c r="D1443" s="389">
        <v>1510.77</v>
      </c>
      <c r="E1443" s="14">
        <f t="shared" si="138"/>
        <v>302.14999999999998</v>
      </c>
      <c r="F1443" s="97">
        <f t="shared" ref="F1443" si="140">D1443+E1443</f>
        <v>1812.92</v>
      </c>
      <c r="EH1443" s="3"/>
      <c r="GS1443" s="2"/>
      <c r="GT1443" s="4"/>
      <c r="GU1443" s="4"/>
      <c r="GV1443" s="4"/>
      <c r="GW1443" s="4"/>
      <c r="GX1443" s="4"/>
      <c r="GY1443" s="4"/>
      <c r="GZ1443" s="4"/>
      <c r="HA1443" s="4"/>
      <c r="HF1443" s="171"/>
      <c r="HG1443" s="134"/>
      <c r="IU1443" s="363"/>
      <c r="IV1443" s="123"/>
    </row>
    <row r="1444" spans="1:256" ht="86.25" customHeight="1" x14ac:dyDescent="0.2">
      <c r="A1444" s="108" t="s">
        <v>633</v>
      </c>
      <c r="B1444" s="397" t="s">
        <v>2274</v>
      </c>
      <c r="C1444" s="379" t="s">
        <v>236</v>
      </c>
      <c r="D1444" s="389">
        <v>1955.95</v>
      </c>
      <c r="E1444" s="14">
        <f t="shared" si="138"/>
        <v>391.19</v>
      </c>
      <c r="F1444" s="97">
        <f t="shared" si="137"/>
        <v>2347.14</v>
      </c>
      <c r="EH1444" s="3"/>
      <c r="GS1444" s="2"/>
      <c r="GT1444" s="4"/>
      <c r="GU1444" s="4"/>
      <c r="GV1444" s="4"/>
      <c r="GW1444" s="4"/>
      <c r="GX1444" s="4"/>
      <c r="GY1444" s="4"/>
      <c r="GZ1444" s="4"/>
      <c r="HA1444" s="4"/>
      <c r="HF1444" s="171"/>
      <c r="HG1444" s="134"/>
    </row>
    <row r="1445" spans="1:256" ht="86.25" customHeight="1" x14ac:dyDescent="0.2">
      <c r="A1445" s="108" t="s">
        <v>634</v>
      </c>
      <c r="B1445" s="397" t="s">
        <v>2275</v>
      </c>
      <c r="C1445" s="379" t="s">
        <v>236</v>
      </c>
      <c r="D1445" s="389">
        <v>1390.77</v>
      </c>
      <c r="E1445" s="14">
        <f t="shared" si="138"/>
        <v>278.14999999999998</v>
      </c>
      <c r="F1445" s="97">
        <f t="shared" ref="F1445" si="141">D1445+E1445</f>
        <v>1668.92</v>
      </c>
      <c r="EH1445" s="3"/>
      <c r="GS1445" s="2"/>
      <c r="GT1445" s="4"/>
      <c r="GU1445" s="4"/>
      <c r="GV1445" s="4"/>
      <c r="GW1445" s="4"/>
      <c r="GX1445" s="4"/>
      <c r="GY1445" s="4"/>
      <c r="GZ1445" s="4"/>
      <c r="HA1445" s="4"/>
      <c r="HF1445" s="181"/>
      <c r="HG1445" s="134"/>
    </row>
    <row r="1446" spans="1:256" ht="21" customHeight="1" x14ac:dyDescent="0.2">
      <c r="A1446" s="108" t="s">
        <v>33</v>
      </c>
      <c r="B1446" s="431" t="s">
        <v>1658</v>
      </c>
      <c r="C1446" s="431"/>
      <c r="D1446" s="431"/>
      <c r="E1446" s="431"/>
      <c r="F1446" s="431"/>
      <c r="EH1446" s="3"/>
      <c r="GS1446" s="2"/>
      <c r="GT1446" s="4"/>
      <c r="GU1446" s="4"/>
      <c r="GV1446" s="4"/>
      <c r="GW1446" s="4"/>
      <c r="GX1446" s="4"/>
      <c r="GY1446" s="4"/>
      <c r="GZ1446" s="4"/>
      <c r="HA1446" s="4"/>
      <c r="HG1446" s="134"/>
    </row>
    <row r="1447" spans="1:256" ht="33" customHeight="1" x14ac:dyDescent="0.2">
      <c r="A1447" s="108" t="s">
        <v>639</v>
      </c>
      <c r="B1447" s="381" t="s">
        <v>1659</v>
      </c>
      <c r="C1447" s="379" t="s">
        <v>1627</v>
      </c>
      <c r="D1447" s="389">
        <f>122.87*1.055*1.05</f>
        <v>136.11000000000001</v>
      </c>
      <c r="E1447" s="14">
        <f>D1447*20%</f>
        <v>27.22</v>
      </c>
      <c r="F1447" s="97">
        <f>D1447+E1447</f>
        <v>163.33000000000001</v>
      </c>
      <c r="EH1447" s="3"/>
      <c r="GS1447" s="2"/>
      <c r="GT1447" s="4"/>
      <c r="GU1447" s="4"/>
      <c r="GV1447" s="4"/>
      <c r="GW1447" s="4"/>
      <c r="GX1447" s="4"/>
      <c r="GY1447" s="4"/>
      <c r="GZ1447" s="4"/>
      <c r="HA1447" s="4"/>
      <c r="HF1447" s="171"/>
      <c r="HG1447" s="134"/>
    </row>
    <row r="1448" spans="1:256" ht="17.25" customHeight="1" x14ac:dyDescent="0.2">
      <c r="A1448" s="108" t="s">
        <v>35</v>
      </c>
      <c r="B1448" s="431" t="s">
        <v>1660</v>
      </c>
      <c r="C1448" s="431"/>
      <c r="D1448" s="431"/>
      <c r="E1448" s="431"/>
      <c r="F1448" s="431"/>
      <c r="EH1448" s="3"/>
      <c r="GS1448" s="2"/>
      <c r="GT1448" s="4"/>
      <c r="GU1448" s="4"/>
      <c r="GV1448" s="4"/>
      <c r="GW1448" s="4"/>
      <c r="GX1448" s="4"/>
      <c r="GY1448" s="4"/>
      <c r="GZ1448" s="4"/>
      <c r="HA1448" s="4"/>
      <c r="HG1448" s="134"/>
    </row>
    <row r="1449" spans="1:256" ht="19.5" customHeight="1" x14ac:dyDescent="0.2">
      <c r="A1449" s="108" t="s">
        <v>259</v>
      </c>
      <c r="B1449" s="381" t="s">
        <v>1661</v>
      </c>
      <c r="C1449" s="379" t="s">
        <v>1662</v>
      </c>
      <c r="D1449" s="389">
        <f>484.55*1.055*1.05</f>
        <v>536.76</v>
      </c>
      <c r="E1449" s="14">
        <f t="shared" ref="E1449:E1454" si="142">D1449*20%</f>
        <v>107.35</v>
      </c>
      <c r="F1449" s="97">
        <f t="shared" ref="F1449:F1454" si="143">D1449+E1449</f>
        <v>644.11</v>
      </c>
      <c r="EH1449" s="3"/>
      <c r="GS1449" s="2"/>
      <c r="GT1449" s="4"/>
      <c r="GU1449" s="4"/>
      <c r="GV1449" s="4"/>
      <c r="GW1449" s="4"/>
      <c r="GX1449" s="4"/>
      <c r="GY1449" s="4"/>
      <c r="GZ1449" s="4"/>
      <c r="HA1449" s="4"/>
      <c r="HF1449" s="171"/>
      <c r="HG1449" s="134"/>
    </row>
    <row r="1450" spans="1:256" ht="34.5" customHeight="1" x14ac:dyDescent="0.2">
      <c r="A1450" s="108" t="s">
        <v>261</v>
      </c>
      <c r="B1450" s="381" t="s">
        <v>1663</v>
      </c>
      <c r="C1450" s="379" t="s">
        <v>1664</v>
      </c>
      <c r="D1450" s="389">
        <f>119.83*1.055*1.05</f>
        <v>132.74</v>
      </c>
      <c r="E1450" s="14">
        <f t="shared" si="142"/>
        <v>26.55</v>
      </c>
      <c r="F1450" s="97">
        <f t="shared" si="143"/>
        <v>159.29</v>
      </c>
      <c r="EH1450" s="3"/>
      <c r="GS1450" s="2"/>
      <c r="GT1450" s="4"/>
      <c r="GU1450" s="4"/>
      <c r="GV1450" s="4"/>
      <c r="GW1450" s="4"/>
      <c r="GX1450" s="4"/>
      <c r="GY1450" s="4"/>
      <c r="GZ1450" s="4"/>
      <c r="HA1450" s="4"/>
      <c r="HF1450" s="171"/>
      <c r="HG1450" s="134"/>
    </row>
    <row r="1451" spans="1:256" s="39" customFormat="1" ht="34.5" hidden="1" customHeight="1" x14ac:dyDescent="0.2">
      <c r="A1451" s="108" t="s">
        <v>37</v>
      </c>
      <c r="B1451" s="381" t="s">
        <v>1665</v>
      </c>
      <c r="C1451" s="122" t="s">
        <v>1666</v>
      </c>
      <c r="D1451" s="389">
        <v>630.01</v>
      </c>
      <c r="E1451" s="14">
        <f t="shared" si="142"/>
        <v>126</v>
      </c>
      <c r="F1451" s="97">
        <f t="shared" si="143"/>
        <v>756.01</v>
      </c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EH1451" s="3"/>
      <c r="GS1451" s="2"/>
      <c r="GT1451" s="4"/>
      <c r="GU1451" s="4"/>
      <c r="GV1451" s="4"/>
      <c r="GW1451" s="4"/>
      <c r="GX1451" s="4"/>
      <c r="GY1451" s="4"/>
      <c r="GZ1451" s="4"/>
      <c r="HA1451" s="4"/>
      <c r="HF1451" s="360"/>
      <c r="HG1451" s="182"/>
    </row>
    <row r="1452" spans="1:256" s="39" customFormat="1" ht="34.5" hidden="1" customHeight="1" x14ac:dyDescent="0.2">
      <c r="A1452" s="108" t="s">
        <v>39</v>
      </c>
      <c r="B1452" s="381" t="s">
        <v>1667</v>
      </c>
      <c r="C1452" s="122" t="s">
        <v>1666</v>
      </c>
      <c r="D1452" s="389">
        <f>1733.47*1.05</f>
        <v>1820.14</v>
      </c>
      <c r="E1452" s="14">
        <f t="shared" si="142"/>
        <v>364.03</v>
      </c>
      <c r="F1452" s="97">
        <f t="shared" si="143"/>
        <v>2184.17</v>
      </c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EH1452" s="3"/>
      <c r="GS1452" s="2"/>
      <c r="GT1452" s="4"/>
      <c r="GU1452" s="4"/>
      <c r="GV1452" s="4"/>
      <c r="GW1452" s="4"/>
      <c r="GX1452" s="4"/>
      <c r="GY1452" s="4"/>
      <c r="GZ1452" s="4"/>
      <c r="HA1452" s="4"/>
      <c r="HF1452" s="360"/>
      <c r="HG1452" s="182"/>
    </row>
    <row r="1453" spans="1:256" ht="34.5" hidden="1" customHeight="1" x14ac:dyDescent="0.2">
      <c r="A1453" s="108" t="s">
        <v>41</v>
      </c>
      <c r="B1453" s="381" t="s">
        <v>1668</v>
      </c>
      <c r="C1453" s="122" t="s">
        <v>1666</v>
      </c>
      <c r="D1453" s="389">
        <f>1770.87*1.05</f>
        <v>1859.41</v>
      </c>
      <c r="E1453" s="14">
        <f t="shared" si="142"/>
        <v>371.88</v>
      </c>
      <c r="F1453" s="97">
        <f t="shared" si="143"/>
        <v>2231.29</v>
      </c>
      <c r="G1453" s="2"/>
      <c r="EH1453" s="3"/>
      <c r="GS1453" s="2"/>
      <c r="GT1453" s="4"/>
      <c r="GU1453" s="4"/>
      <c r="GV1453" s="4"/>
      <c r="GW1453" s="4"/>
      <c r="GX1453" s="4"/>
      <c r="GY1453" s="4"/>
      <c r="GZ1453" s="4"/>
      <c r="HA1453" s="4"/>
      <c r="HF1453" s="181"/>
      <c r="HG1453" s="134"/>
    </row>
    <row r="1454" spans="1:256" s="39" customFormat="1" ht="34.5" hidden="1" customHeight="1" x14ac:dyDescent="0.2">
      <c r="A1454" s="108" t="s">
        <v>44</v>
      </c>
      <c r="B1454" s="381" t="s">
        <v>1669</v>
      </c>
      <c r="C1454" s="122" t="s">
        <v>1666</v>
      </c>
      <c r="D1454" s="389">
        <v>990.22</v>
      </c>
      <c r="E1454" s="14">
        <f t="shared" si="142"/>
        <v>198.04</v>
      </c>
      <c r="F1454" s="97">
        <f t="shared" si="143"/>
        <v>1188.26</v>
      </c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EH1454" s="3"/>
      <c r="GS1454" s="2"/>
      <c r="GT1454" s="4"/>
      <c r="GU1454" s="4"/>
      <c r="GV1454" s="4"/>
      <c r="GW1454" s="4"/>
      <c r="GX1454" s="4"/>
      <c r="GY1454" s="4"/>
      <c r="GZ1454" s="4"/>
      <c r="HA1454" s="4"/>
      <c r="HF1454" s="360"/>
      <c r="HG1454" s="182"/>
    </row>
    <row r="1455" spans="1:256" ht="38.25" customHeight="1" x14ac:dyDescent="0.2">
      <c r="A1455" s="429" t="s">
        <v>1670</v>
      </c>
      <c r="B1455" s="429"/>
      <c r="C1455" s="429"/>
      <c r="D1455" s="429"/>
      <c r="E1455" s="429"/>
      <c r="F1455" s="429"/>
      <c r="EH1455" s="3"/>
      <c r="GS1455" s="2"/>
      <c r="GT1455" s="4"/>
      <c r="GU1455" s="4"/>
      <c r="GV1455" s="4"/>
      <c r="GW1455" s="4"/>
      <c r="GX1455" s="4"/>
      <c r="GY1455" s="4"/>
      <c r="GZ1455" s="4"/>
      <c r="HA1455" s="4"/>
      <c r="HG1455" s="134"/>
    </row>
    <row r="1456" spans="1:256" ht="37.5" customHeight="1" x14ac:dyDescent="0.2">
      <c r="A1456" s="108" t="s">
        <v>14</v>
      </c>
      <c r="B1456" s="397" t="s">
        <v>1671</v>
      </c>
      <c r="C1456" s="379" t="s">
        <v>1627</v>
      </c>
      <c r="D1456" s="389">
        <f>251.18*1.055*1.05</f>
        <v>278.24</v>
      </c>
      <c r="E1456" s="14">
        <f>D1456*20%</f>
        <v>55.65</v>
      </c>
      <c r="F1456" s="97">
        <f>D1456+E1456</f>
        <v>333.89</v>
      </c>
      <c r="EH1456" s="3"/>
      <c r="GS1456" s="2"/>
      <c r="GT1456" s="4"/>
      <c r="GU1456" s="4"/>
      <c r="GV1456" s="4"/>
      <c r="GW1456" s="4"/>
      <c r="GX1456" s="4"/>
      <c r="GY1456" s="4"/>
      <c r="GZ1456" s="4"/>
      <c r="HA1456" s="4"/>
      <c r="HF1456" s="181"/>
      <c r="HG1456" s="134"/>
    </row>
    <row r="1457" spans="1:256" ht="18" customHeight="1" x14ac:dyDescent="0.2">
      <c r="A1457" s="108" t="s">
        <v>26</v>
      </c>
      <c r="B1457" s="430" t="s">
        <v>1672</v>
      </c>
      <c r="C1457" s="430"/>
      <c r="D1457" s="430"/>
      <c r="E1457" s="430"/>
      <c r="F1457" s="430"/>
      <c r="EH1457" s="3"/>
      <c r="GS1457" s="2"/>
      <c r="GT1457" s="4"/>
      <c r="GU1457" s="4"/>
      <c r="GV1457" s="4"/>
      <c r="GW1457" s="4"/>
      <c r="GX1457" s="4"/>
      <c r="GY1457" s="4"/>
      <c r="GZ1457" s="4"/>
      <c r="HA1457" s="4"/>
      <c r="HG1457" s="134"/>
    </row>
    <row r="1458" spans="1:256" ht="20.25" customHeight="1" x14ac:dyDescent="0.2">
      <c r="A1458" s="108" t="s">
        <v>563</v>
      </c>
      <c r="B1458" s="179" t="s">
        <v>1673</v>
      </c>
      <c r="C1458" s="379" t="s">
        <v>1627</v>
      </c>
      <c r="D1458" s="389">
        <f>136.07*1.055*1.05</f>
        <v>150.72999999999999</v>
      </c>
      <c r="E1458" s="14">
        <f>D1458*20%</f>
        <v>30.15</v>
      </c>
      <c r="F1458" s="97">
        <f>D1458+E1458</f>
        <v>180.88</v>
      </c>
      <c r="EH1458" s="3"/>
      <c r="GS1458" s="2"/>
      <c r="GT1458" s="4"/>
      <c r="GU1458" s="4"/>
      <c r="GV1458" s="4"/>
      <c r="GW1458" s="4"/>
      <c r="GX1458" s="4"/>
      <c r="GY1458" s="4"/>
      <c r="GZ1458" s="4"/>
      <c r="HA1458" s="4"/>
      <c r="HF1458" s="171"/>
      <c r="HG1458" s="134"/>
    </row>
    <row r="1459" spans="1:256" ht="15.75" customHeight="1" x14ac:dyDescent="0.2">
      <c r="A1459" s="404" t="s">
        <v>565</v>
      </c>
      <c r="B1459" s="179" t="s">
        <v>1674</v>
      </c>
      <c r="C1459" s="379" t="s">
        <v>1627</v>
      </c>
      <c r="D1459" s="389">
        <f>132.24*1.04*1.04*1.055*1.05</f>
        <v>158.44</v>
      </c>
      <c r="E1459" s="14">
        <f>D1459*20%</f>
        <v>31.69</v>
      </c>
      <c r="F1459" s="97">
        <f>D1459+E1459</f>
        <v>190.13</v>
      </c>
      <c r="EH1459" s="3"/>
      <c r="GS1459" s="2"/>
      <c r="GT1459" s="4"/>
      <c r="GU1459" s="4"/>
      <c r="GV1459" s="4"/>
      <c r="GW1459" s="4"/>
      <c r="GX1459" s="4"/>
      <c r="GY1459" s="4"/>
      <c r="GZ1459" s="4"/>
      <c r="HA1459" s="4"/>
      <c r="HF1459" s="171"/>
      <c r="HG1459" s="134"/>
      <c r="IU1459" s="359">
        <v>121.67</v>
      </c>
      <c r="IV1459" s="123">
        <f>121.67*1.045</f>
        <v>127.15</v>
      </c>
    </row>
    <row r="1460" spans="1:256" ht="17.25" customHeight="1" x14ac:dyDescent="0.2">
      <c r="A1460" s="404" t="s">
        <v>567</v>
      </c>
      <c r="B1460" s="179" t="s">
        <v>1675</v>
      </c>
      <c r="C1460" s="379" t="s">
        <v>1627</v>
      </c>
      <c r="D1460" s="389">
        <f>127.46*1.04*1.04*1.055*1.05</f>
        <v>152.72</v>
      </c>
      <c r="E1460" s="14">
        <f>D1460*20%</f>
        <v>30.54</v>
      </c>
      <c r="F1460" s="97">
        <f>D1460+E1460</f>
        <v>183.26</v>
      </c>
      <c r="EH1460" s="3"/>
      <c r="GS1460" s="2"/>
      <c r="GT1460" s="4"/>
      <c r="GU1460" s="4"/>
      <c r="GV1460" s="4"/>
      <c r="GW1460" s="4"/>
      <c r="GX1460" s="4"/>
      <c r="GY1460" s="4"/>
      <c r="GZ1460" s="4"/>
      <c r="HA1460" s="4"/>
      <c r="HF1460" s="171"/>
      <c r="HG1460" s="134"/>
      <c r="IU1460" s="359">
        <v>117.28</v>
      </c>
      <c r="IV1460" s="123">
        <f>117.28*1.045</f>
        <v>122.56</v>
      </c>
    </row>
    <row r="1461" spans="1:256" ht="23.25" customHeight="1" x14ac:dyDescent="0.2">
      <c r="A1461" s="108" t="s">
        <v>29</v>
      </c>
      <c r="B1461" s="432" t="s">
        <v>1676</v>
      </c>
      <c r="C1461" s="432"/>
      <c r="D1461" s="432"/>
      <c r="E1461" s="432"/>
      <c r="F1461" s="432"/>
      <c r="EH1461" s="3"/>
      <c r="GS1461" s="2"/>
      <c r="GT1461" s="4"/>
      <c r="GU1461" s="4"/>
      <c r="GV1461" s="4"/>
      <c r="GW1461" s="4"/>
      <c r="GX1461" s="4"/>
      <c r="GY1461" s="4"/>
      <c r="GZ1461" s="4"/>
      <c r="HA1461" s="4"/>
      <c r="HG1461" s="134"/>
    </row>
    <row r="1462" spans="1:256" ht="24.75" customHeight="1" x14ac:dyDescent="0.2">
      <c r="A1462" s="404" t="s">
        <v>578</v>
      </c>
      <c r="B1462" s="392" t="s">
        <v>1677</v>
      </c>
      <c r="C1462" s="379" t="s">
        <v>1627</v>
      </c>
      <c r="D1462" s="389">
        <f>31.04*1.04*1.04*1.055*1.05</f>
        <v>37.19</v>
      </c>
      <c r="E1462" s="14">
        <f t="shared" ref="E1462:E1471" si="144">D1462*20%</f>
        <v>7.44</v>
      </c>
      <c r="F1462" s="97">
        <f>D1462+E1462</f>
        <v>44.63</v>
      </c>
      <c r="EH1462" s="3"/>
      <c r="GS1462" s="2"/>
      <c r="GT1462" s="4"/>
      <c r="GU1462" s="4"/>
      <c r="GV1462" s="4"/>
      <c r="GW1462" s="4"/>
      <c r="GX1462" s="4"/>
      <c r="GY1462" s="4"/>
      <c r="GZ1462" s="4"/>
      <c r="HA1462" s="4"/>
      <c r="HF1462" s="171"/>
      <c r="HG1462" s="134"/>
      <c r="IU1462" s="359">
        <v>28.56</v>
      </c>
      <c r="IV1462" s="123">
        <f>28.56*1.045</f>
        <v>29.85</v>
      </c>
    </row>
    <row r="1463" spans="1:256" ht="26.25" customHeight="1" x14ac:dyDescent="0.2">
      <c r="A1463" s="404" t="s">
        <v>580</v>
      </c>
      <c r="B1463" s="98" t="s">
        <v>1678</v>
      </c>
      <c r="C1463" s="379" t="s">
        <v>1627</v>
      </c>
      <c r="D1463" s="389">
        <f>67.56*1.04*1.04*1.055*1.05</f>
        <v>80.95</v>
      </c>
      <c r="E1463" s="14">
        <f t="shared" si="144"/>
        <v>16.190000000000001</v>
      </c>
      <c r="F1463" s="97">
        <f t="shared" ref="F1463:F1471" si="145">D1463+E1463</f>
        <v>97.14</v>
      </c>
      <c r="EH1463" s="3"/>
      <c r="GS1463" s="2"/>
      <c r="GT1463" s="4"/>
      <c r="GU1463" s="4"/>
      <c r="GV1463" s="4"/>
      <c r="GW1463" s="4"/>
      <c r="GX1463" s="4"/>
      <c r="GY1463" s="4"/>
      <c r="GZ1463" s="4"/>
      <c r="HA1463" s="4"/>
      <c r="HF1463" s="171"/>
      <c r="HG1463" s="134"/>
      <c r="IU1463" s="359">
        <v>62.16</v>
      </c>
      <c r="IV1463" s="123">
        <f>62.16*1.045</f>
        <v>64.959999999999994</v>
      </c>
    </row>
    <row r="1464" spans="1:256" ht="21.75" customHeight="1" x14ac:dyDescent="0.2">
      <c r="A1464" s="404" t="s">
        <v>582</v>
      </c>
      <c r="B1464" s="381" t="s">
        <v>1679</v>
      </c>
      <c r="C1464" s="379" t="s">
        <v>1627</v>
      </c>
      <c r="D1464" s="389">
        <f>78.76*1.04*1.04*1.055*1.05</f>
        <v>94.37</v>
      </c>
      <c r="E1464" s="14">
        <f t="shared" si="144"/>
        <v>18.87</v>
      </c>
      <c r="F1464" s="97">
        <f>D1464+E1464</f>
        <v>113.24</v>
      </c>
      <c r="EH1464" s="3"/>
      <c r="GS1464" s="2"/>
      <c r="GT1464" s="4"/>
      <c r="GU1464" s="4"/>
      <c r="GV1464" s="4"/>
      <c r="GW1464" s="4"/>
      <c r="GX1464" s="4"/>
      <c r="GY1464" s="4"/>
      <c r="GZ1464" s="4"/>
      <c r="HA1464" s="4"/>
      <c r="HF1464" s="171"/>
      <c r="HG1464" s="134"/>
      <c r="IU1464" s="359">
        <v>72.47</v>
      </c>
      <c r="IV1464" s="123">
        <f>72.47*1.045</f>
        <v>75.73</v>
      </c>
    </row>
    <row r="1465" spans="1:256" ht="17.25" customHeight="1" x14ac:dyDescent="0.2">
      <c r="A1465" s="404" t="s">
        <v>584</v>
      </c>
      <c r="B1465" s="381" t="s">
        <v>1680</v>
      </c>
      <c r="C1465" s="379" t="s">
        <v>1365</v>
      </c>
      <c r="D1465" s="389">
        <f>14.32*1.04*1.04*1.055*1.05</f>
        <v>17.16</v>
      </c>
      <c r="E1465" s="14">
        <f t="shared" si="144"/>
        <v>3.43</v>
      </c>
      <c r="F1465" s="97">
        <f t="shared" si="145"/>
        <v>20.59</v>
      </c>
      <c r="EH1465" s="3"/>
      <c r="GS1465" s="2"/>
      <c r="GT1465" s="4"/>
      <c r="GU1465" s="4"/>
      <c r="GV1465" s="4"/>
      <c r="GW1465" s="4"/>
      <c r="GX1465" s="4"/>
      <c r="GY1465" s="4"/>
      <c r="GZ1465" s="4"/>
      <c r="HA1465" s="4"/>
      <c r="HF1465" s="171"/>
      <c r="HG1465" s="134"/>
      <c r="IU1465" s="359">
        <v>13.18</v>
      </c>
      <c r="IV1465" s="123">
        <f>13.18*1.045</f>
        <v>13.77</v>
      </c>
    </row>
    <row r="1466" spans="1:256" ht="52.5" customHeight="1" x14ac:dyDescent="0.2">
      <c r="A1466" s="108" t="s">
        <v>31</v>
      </c>
      <c r="B1466" s="397" t="s">
        <v>1681</v>
      </c>
      <c r="C1466" s="379" t="s">
        <v>1633</v>
      </c>
      <c r="D1466" s="389">
        <f>64.42*1.055*1.05</f>
        <v>71.36</v>
      </c>
      <c r="E1466" s="14">
        <f t="shared" si="144"/>
        <v>14.27</v>
      </c>
      <c r="F1466" s="97">
        <f t="shared" si="145"/>
        <v>85.63</v>
      </c>
      <c r="EH1466" s="3"/>
      <c r="GS1466" s="2"/>
      <c r="GT1466" s="4"/>
      <c r="GU1466" s="4"/>
      <c r="GV1466" s="4"/>
      <c r="GW1466" s="4"/>
      <c r="GX1466" s="4"/>
      <c r="GY1466" s="4"/>
      <c r="GZ1466" s="4"/>
      <c r="HA1466" s="4"/>
      <c r="HF1466" s="171"/>
      <c r="HG1466" s="134"/>
    </row>
    <row r="1467" spans="1:256" ht="48" customHeight="1" x14ac:dyDescent="0.2">
      <c r="A1467" s="108" t="s">
        <v>33</v>
      </c>
      <c r="B1467" s="397" t="s">
        <v>1682</v>
      </c>
      <c r="C1467" s="379" t="s">
        <v>1633</v>
      </c>
      <c r="D1467" s="389">
        <f>158.98*1.055*1.05</f>
        <v>176.11</v>
      </c>
      <c r="E1467" s="14">
        <f t="shared" si="144"/>
        <v>35.22</v>
      </c>
      <c r="F1467" s="97">
        <f t="shared" si="145"/>
        <v>211.33</v>
      </c>
      <c r="EH1467" s="3"/>
      <c r="GS1467" s="2"/>
      <c r="GT1467" s="4"/>
      <c r="GU1467" s="4"/>
      <c r="GV1467" s="4"/>
      <c r="GW1467" s="4"/>
      <c r="GX1467" s="4"/>
      <c r="GY1467" s="4"/>
      <c r="GZ1467" s="4"/>
      <c r="HA1467" s="4"/>
      <c r="HF1467" s="171"/>
      <c r="HG1467" s="134"/>
    </row>
    <row r="1468" spans="1:256" ht="52.5" customHeight="1" x14ac:dyDescent="0.2">
      <c r="A1468" s="108" t="s">
        <v>35</v>
      </c>
      <c r="B1468" s="397" t="s">
        <v>1683</v>
      </c>
      <c r="C1468" s="379" t="s">
        <v>1633</v>
      </c>
      <c r="D1468" s="389">
        <f>488.21*1.055*1.05</f>
        <v>540.80999999999995</v>
      </c>
      <c r="E1468" s="14">
        <f t="shared" si="144"/>
        <v>108.16</v>
      </c>
      <c r="F1468" s="97">
        <f t="shared" si="145"/>
        <v>648.97</v>
      </c>
      <c r="EH1468" s="3"/>
      <c r="GS1468" s="2"/>
      <c r="GT1468" s="4"/>
      <c r="GU1468" s="4"/>
      <c r="GV1468" s="4"/>
      <c r="GW1468" s="4"/>
      <c r="GX1468" s="4"/>
      <c r="GY1468" s="4"/>
      <c r="GZ1468" s="4"/>
      <c r="HA1468" s="4"/>
      <c r="HF1468" s="171"/>
      <c r="HG1468" s="134"/>
    </row>
    <row r="1469" spans="1:256" ht="31.5" customHeight="1" x14ac:dyDescent="0.2">
      <c r="A1469" s="108" t="s">
        <v>37</v>
      </c>
      <c r="B1469" s="397" t="s">
        <v>1684</v>
      </c>
      <c r="C1469" s="379" t="s">
        <v>1633</v>
      </c>
      <c r="D1469" s="389">
        <f>103.59*1.04*1.04*1.055*1.05</f>
        <v>124.12</v>
      </c>
      <c r="E1469" s="14">
        <f t="shared" si="144"/>
        <v>24.82</v>
      </c>
      <c r="F1469" s="97">
        <f t="shared" si="145"/>
        <v>148.94</v>
      </c>
      <c r="EH1469" s="3"/>
      <c r="GS1469" s="2"/>
      <c r="GT1469" s="4"/>
      <c r="GU1469" s="4"/>
      <c r="GV1469" s="4"/>
      <c r="GW1469" s="4"/>
      <c r="GX1469" s="4"/>
      <c r="GY1469" s="4"/>
      <c r="GZ1469" s="4"/>
      <c r="HA1469" s="4"/>
      <c r="HF1469" s="171"/>
      <c r="HG1469" s="134"/>
      <c r="IU1469" s="359">
        <v>95.32</v>
      </c>
      <c r="IV1469" s="123">
        <f>95.32*1.045</f>
        <v>99.61</v>
      </c>
    </row>
    <row r="1470" spans="1:256" ht="44.25" customHeight="1" x14ac:dyDescent="0.2">
      <c r="A1470" s="108" t="s">
        <v>39</v>
      </c>
      <c r="B1470" s="397" t="s">
        <v>1685</v>
      </c>
      <c r="C1470" s="379" t="s">
        <v>1633</v>
      </c>
      <c r="D1470" s="389">
        <f>175.88*1.055*1.05</f>
        <v>194.83</v>
      </c>
      <c r="E1470" s="14">
        <f t="shared" si="144"/>
        <v>38.97</v>
      </c>
      <c r="F1470" s="97">
        <f t="shared" si="145"/>
        <v>233.8</v>
      </c>
      <c r="EH1470" s="3"/>
      <c r="GS1470" s="2"/>
      <c r="GT1470" s="4"/>
      <c r="GU1470" s="4"/>
      <c r="GV1470" s="4"/>
      <c r="GW1470" s="4"/>
      <c r="GX1470" s="4"/>
      <c r="GY1470" s="4"/>
      <c r="GZ1470" s="4"/>
      <c r="HA1470" s="4"/>
      <c r="HF1470" s="171"/>
      <c r="HG1470" s="134"/>
    </row>
    <row r="1471" spans="1:256" s="39" customFormat="1" ht="36.75" hidden="1" customHeight="1" x14ac:dyDescent="0.2">
      <c r="A1471" s="108" t="s">
        <v>41</v>
      </c>
      <c r="B1471" s="381" t="s">
        <v>1686</v>
      </c>
      <c r="C1471" s="122" t="s">
        <v>1666</v>
      </c>
      <c r="D1471" s="389">
        <v>505.02</v>
      </c>
      <c r="E1471" s="14">
        <f t="shared" si="144"/>
        <v>101</v>
      </c>
      <c r="F1471" s="97">
        <f t="shared" si="145"/>
        <v>606.02</v>
      </c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EH1471" s="3"/>
      <c r="GS1471" s="2"/>
      <c r="GT1471" s="4"/>
      <c r="GU1471" s="4"/>
      <c r="GV1471" s="4"/>
      <c r="GW1471" s="4"/>
      <c r="GX1471" s="4"/>
      <c r="GY1471" s="4"/>
      <c r="GZ1471" s="4"/>
      <c r="HA1471" s="4"/>
      <c r="HF1471" s="360"/>
      <c r="HG1471" s="182"/>
    </row>
    <row r="1472" spans="1:256" ht="29.25" customHeight="1" x14ac:dyDescent="0.2">
      <c r="A1472" s="429" t="s">
        <v>1687</v>
      </c>
      <c r="B1472" s="429"/>
      <c r="C1472" s="429"/>
      <c r="D1472" s="429"/>
      <c r="E1472" s="429"/>
      <c r="F1472" s="429"/>
      <c r="EH1472" s="3"/>
      <c r="GS1472" s="2"/>
      <c r="GT1472" s="4"/>
      <c r="GU1472" s="4"/>
      <c r="GV1472" s="4"/>
      <c r="GW1472" s="4"/>
      <c r="GX1472" s="4"/>
      <c r="GY1472" s="4"/>
      <c r="GZ1472" s="4"/>
      <c r="HA1472" s="4"/>
      <c r="HG1472" s="134"/>
    </row>
    <row r="1473" spans="1:256" ht="18.75" customHeight="1" x14ac:dyDescent="0.2">
      <c r="A1473" s="108" t="s">
        <v>14</v>
      </c>
      <c r="B1473" s="381" t="s">
        <v>1688</v>
      </c>
      <c r="C1473" s="379" t="s">
        <v>1689</v>
      </c>
      <c r="D1473" s="389">
        <f>116.71*1.04*1.04*1.055*1.05</f>
        <v>139.84</v>
      </c>
      <c r="E1473" s="14">
        <f>D1473*20%</f>
        <v>27.97</v>
      </c>
      <c r="F1473" s="97">
        <f>D1473+E1473</f>
        <v>167.81</v>
      </c>
      <c r="EH1473" s="3"/>
      <c r="GS1473" s="2"/>
      <c r="GT1473" s="4"/>
      <c r="GU1473" s="4"/>
      <c r="GV1473" s="4"/>
      <c r="GW1473" s="4"/>
      <c r="GX1473" s="4"/>
      <c r="GY1473" s="4"/>
      <c r="GZ1473" s="4"/>
      <c r="HA1473" s="4"/>
      <c r="HF1473" s="171"/>
      <c r="HG1473" s="134"/>
      <c r="IU1473" s="359">
        <v>107.39</v>
      </c>
      <c r="IV1473" s="123">
        <f>107.39*1.045</f>
        <v>112.22</v>
      </c>
    </row>
    <row r="1474" spans="1:256" ht="17.25" customHeight="1" x14ac:dyDescent="0.2">
      <c r="A1474" s="108" t="s">
        <v>26</v>
      </c>
      <c r="B1474" s="381" t="s">
        <v>1690</v>
      </c>
      <c r="C1474" s="379" t="s">
        <v>1567</v>
      </c>
      <c r="D1474" s="389">
        <f>87.36*1.04*1.04*1.055*1.05</f>
        <v>104.67</v>
      </c>
      <c r="E1474" s="14">
        <f>D1474*20%</f>
        <v>20.93</v>
      </c>
      <c r="F1474" s="97">
        <f>D1474+E1474</f>
        <v>125.6</v>
      </c>
      <c r="EH1474" s="3"/>
      <c r="GS1474" s="2"/>
      <c r="GT1474" s="4"/>
      <c r="GU1474" s="4"/>
      <c r="GV1474" s="4"/>
      <c r="GW1474" s="4"/>
      <c r="GX1474" s="4"/>
      <c r="GY1474" s="4"/>
      <c r="GZ1474" s="4"/>
      <c r="HA1474" s="4"/>
      <c r="HF1474" s="171"/>
      <c r="HG1474" s="134"/>
      <c r="IU1474" s="359">
        <v>80.38</v>
      </c>
      <c r="IV1474" s="123">
        <f>80.38*1.045</f>
        <v>84</v>
      </c>
    </row>
    <row r="1475" spans="1:256" ht="45.75" customHeight="1" x14ac:dyDescent="0.2">
      <c r="A1475" s="429" t="s">
        <v>1691</v>
      </c>
      <c r="B1475" s="429"/>
      <c r="C1475" s="429"/>
      <c r="D1475" s="429"/>
      <c r="E1475" s="429"/>
      <c r="F1475" s="429"/>
      <c r="EH1475" s="3"/>
      <c r="GS1475" s="2"/>
      <c r="GT1475" s="4"/>
      <c r="GU1475" s="4"/>
      <c r="GV1475" s="4"/>
      <c r="GW1475" s="4"/>
      <c r="GX1475" s="4"/>
      <c r="GY1475" s="4"/>
      <c r="GZ1475" s="4"/>
      <c r="HA1475" s="4"/>
      <c r="HG1475" s="134"/>
    </row>
    <row r="1476" spans="1:256" ht="130.5" customHeight="1" x14ac:dyDescent="0.2">
      <c r="A1476" s="108" t="s">
        <v>14</v>
      </c>
      <c r="B1476" s="381" t="s">
        <v>1692</v>
      </c>
      <c r="C1476" s="379" t="s">
        <v>1693</v>
      </c>
      <c r="D1476" s="426">
        <v>1.5</v>
      </c>
      <c r="E1476" s="426"/>
      <c r="F1476" s="426"/>
      <c r="EH1476" s="3"/>
      <c r="GS1476" s="2"/>
      <c r="GT1476" s="4"/>
      <c r="GU1476" s="4"/>
      <c r="GV1476" s="4"/>
      <c r="GW1476" s="4"/>
      <c r="GX1476" s="4"/>
      <c r="GY1476" s="4"/>
      <c r="GZ1476" s="4"/>
      <c r="HA1476" s="4"/>
      <c r="HG1476" s="134"/>
    </row>
    <row r="1477" spans="1:256" ht="48.75" customHeight="1" x14ac:dyDescent="0.2">
      <c r="A1477" s="108" t="s">
        <v>26</v>
      </c>
      <c r="B1477" s="381" t="s">
        <v>1694</v>
      </c>
      <c r="C1477" s="379" t="s">
        <v>1693</v>
      </c>
      <c r="D1477" s="426">
        <v>2</v>
      </c>
      <c r="E1477" s="426"/>
      <c r="F1477" s="426"/>
      <c r="EH1477" s="3"/>
      <c r="GS1477" s="2"/>
      <c r="GT1477" s="4"/>
      <c r="GU1477" s="4"/>
      <c r="GV1477" s="4"/>
      <c r="GW1477" s="4"/>
      <c r="GX1477" s="4"/>
      <c r="GY1477" s="4"/>
      <c r="GZ1477" s="4"/>
      <c r="HA1477" s="4"/>
      <c r="HG1477" s="134"/>
    </row>
    <row r="1478" spans="1:256" ht="23.25" customHeight="1" x14ac:dyDescent="0.2">
      <c r="A1478" s="108" t="s">
        <v>29</v>
      </c>
      <c r="B1478" s="430" t="s">
        <v>1695</v>
      </c>
      <c r="C1478" s="430"/>
      <c r="D1478" s="430"/>
      <c r="E1478" s="430"/>
      <c r="F1478" s="430"/>
      <c r="EH1478" s="3"/>
      <c r="GS1478" s="2"/>
      <c r="GT1478" s="4"/>
      <c r="GU1478" s="4"/>
      <c r="GV1478" s="4"/>
      <c r="GW1478" s="4"/>
      <c r="GX1478" s="4"/>
      <c r="GY1478" s="4"/>
      <c r="GZ1478" s="4"/>
      <c r="HA1478" s="4"/>
      <c r="HG1478" s="134"/>
    </row>
    <row r="1479" spans="1:256" ht="25.5" customHeight="1" x14ac:dyDescent="0.2">
      <c r="A1479" s="108" t="s">
        <v>578</v>
      </c>
      <c r="B1479" s="381" t="s">
        <v>1696</v>
      </c>
      <c r="C1479" s="379" t="s">
        <v>1693</v>
      </c>
      <c r="D1479" s="426">
        <v>1.1000000000000001</v>
      </c>
      <c r="E1479" s="426"/>
      <c r="F1479" s="426"/>
      <c r="EH1479" s="3"/>
      <c r="GS1479" s="2"/>
      <c r="GT1479" s="4"/>
      <c r="GU1479" s="4"/>
      <c r="GV1479" s="4"/>
      <c r="GW1479" s="4"/>
      <c r="GX1479" s="4"/>
      <c r="GY1479" s="4"/>
      <c r="GZ1479" s="4"/>
      <c r="HA1479" s="4"/>
      <c r="HG1479" s="134"/>
    </row>
    <row r="1480" spans="1:256" ht="21" customHeight="1" x14ac:dyDescent="0.2">
      <c r="A1480" s="108" t="s">
        <v>580</v>
      </c>
      <c r="B1480" s="381" t="s">
        <v>1697</v>
      </c>
      <c r="C1480" s="379" t="s">
        <v>1693</v>
      </c>
      <c r="D1480" s="426">
        <v>1.2</v>
      </c>
      <c r="E1480" s="426"/>
      <c r="F1480" s="426"/>
      <c r="EH1480" s="3"/>
      <c r="GS1480" s="2"/>
      <c r="GT1480" s="4"/>
      <c r="GU1480" s="4"/>
      <c r="GV1480" s="4"/>
      <c r="GW1480" s="4"/>
      <c r="GX1480" s="4"/>
      <c r="GY1480" s="4"/>
      <c r="GZ1480" s="4"/>
      <c r="HA1480" s="4"/>
      <c r="HG1480" s="134"/>
    </row>
    <row r="1481" spans="1:256" ht="44.25" customHeight="1" x14ac:dyDescent="0.2">
      <c r="A1481" s="108" t="s">
        <v>582</v>
      </c>
      <c r="B1481" s="381" t="s">
        <v>1698</v>
      </c>
      <c r="C1481" s="379" t="s">
        <v>1693</v>
      </c>
      <c r="D1481" s="426">
        <v>1.3</v>
      </c>
      <c r="E1481" s="426"/>
      <c r="F1481" s="426"/>
      <c r="EH1481" s="3"/>
      <c r="GS1481" s="2"/>
      <c r="GT1481" s="4"/>
      <c r="GU1481" s="4"/>
      <c r="GV1481" s="4"/>
      <c r="GW1481" s="4"/>
      <c r="GX1481" s="4"/>
      <c r="GY1481" s="4"/>
      <c r="GZ1481" s="4"/>
      <c r="HA1481" s="4"/>
      <c r="HG1481" s="134"/>
    </row>
    <row r="1482" spans="1:256" ht="25.5" customHeight="1" x14ac:dyDescent="0.2">
      <c r="A1482" s="108" t="s">
        <v>584</v>
      </c>
      <c r="B1482" s="381" t="s">
        <v>1699</v>
      </c>
      <c r="C1482" s="379" t="s">
        <v>1693</v>
      </c>
      <c r="D1482" s="426">
        <v>1.4</v>
      </c>
      <c r="E1482" s="426"/>
      <c r="F1482" s="426"/>
      <c r="EH1482" s="3"/>
      <c r="GS1482" s="2"/>
      <c r="GT1482" s="4"/>
      <c r="GU1482" s="4"/>
      <c r="GV1482" s="4"/>
      <c r="GW1482" s="4"/>
      <c r="GX1482" s="4"/>
      <c r="GY1482" s="4"/>
      <c r="GZ1482" s="4"/>
      <c r="HA1482" s="4"/>
      <c r="HG1482" s="134"/>
    </row>
    <row r="1483" spans="1:256" ht="29.25" customHeight="1" x14ac:dyDescent="0.2">
      <c r="A1483" s="108" t="s">
        <v>586</v>
      </c>
      <c r="B1483" s="381" t="s">
        <v>1700</v>
      </c>
      <c r="C1483" s="379" t="s">
        <v>1693</v>
      </c>
      <c r="D1483" s="426">
        <v>1.5</v>
      </c>
      <c r="E1483" s="426"/>
      <c r="F1483" s="426"/>
      <c r="EH1483" s="3"/>
      <c r="GS1483" s="2"/>
      <c r="GT1483" s="4"/>
      <c r="GU1483" s="4"/>
      <c r="GV1483" s="4"/>
      <c r="GW1483" s="4"/>
      <c r="GX1483" s="4"/>
      <c r="GY1483" s="4"/>
      <c r="GZ1483" s="4"/>
      <c r="HA1483" s="4"/>
      <c r="HG1483" s="134"/>
    </row>
    <row r="1484" spans="1:256" ht="48.75" customHeight="1" x14ac:dyDescent="0.2">
      <c r="A1484" s="108" t="s">
        <v>31</v>
      </c>
      <c r="B1484" s="381" t="s">
        <v>1701</v>
      </c>
      <c r="C1484" s="379" t="s">
        <v>1693</v>
      </c>
      <c r="D1484" s="426">
        <v>2</v>
      </c>
      <c r="E1484" s="426"/>
      <c r="F1484" s="426"/>
      <c r="EH1484" s="3"/>
      <c r="GS1484" s="2"/>
      <c r="GT1484" s="4"/>
      <c r="GU1484" s="4"/>
      <c r="GV1484" s="4"/>
      <c r="GW1484" s="4"/>
      <c r="GX1484" s="4"/>
      <c r="GY1484" s="4"/>
      <c r="GZ1484" s="4"/>
      <c r="HA1484" s="4"/>
      <c r="HG1484" s="134"/>
    </row>
    <row r="1485" spans="1:256" ht="46.5" customHeight="1" x14ac:dyDescent="0.2">
      <c r="A1485" s="108" t="s">
        <v>33</v>
      </c>
      <c r="B1485" s="381" t="s">
        <v>1702</v>
      </c>
      <c r="C1485" s="379" t="s">
        <v>1693</v>
      </c>
      <c r="D1485" s="426">
        <v>2</v>
      </c>
      <c r="E1485" s="426"/>
      <c r="F1485" s="426"/>
      <c r="EH1485" s="3"/>
      <c r="GS1485" s="2"/>
      <c r="GT1485" s="4"/>
      <c r="GU1485" s="4"/>
      <c r="GV1485" s="4"/>
      <c r="GW1485" s="4"/>
      <c r="GX1485" s="4"/>
      <c r="GY1485" s="4"/>
      <c r="GZ1485" s="4"/>
      <c r="HA1485" s="4"/>
      <c r="HG1485" s="134"/>
    </row>
    <row r="1486" spans="1:256" ht="50.25" customHeight="1" x14ac:dyDescent="0.2">
      <c r="A1486" s="108" t="s">
        <v>35</v>
      </c>
      <c r="B1486" s="381" t="s">
        <v>1703</v>
      </c>
      <c r="C1486" s="379" t="s">
        <v>1693</v>
      </c>
      <c r="D1486" s="426">
        <v>2</v>
      </c>
      <c r="E1486" s="426"/>
      <c r="F1486" s="426"/>
      <c r="EH1486" s="3"/>
      <c r="GS1486" s="2"/>
      <c r="GT1486" s="4"/>
      <c r="GU1486" s="4"/>
      <c r="GV1486" s="4"/>
      <c r="GW1486" s="4"/>
      <c r="GX1486" s="4"/>
      <c r="GY1486" s="4"/>
      <c r="GZ1486" s="4"/>
      <c r="HA1486" s="4"/>
      <c r="HG1486" s="134"/>
    </row>
    <row r="1487" spans="1:256" ht="85.5" customHeight="1" x14ac:dyDescent="0.2">
      <c r="A1487" s="108" t="s">
        <v>37</v>
      </c>
      <c r="B1487" s="381" t="s">
        <v>1704</v>
      </c>
      <c r="C1487" s="379" t="s">
        <v>1693</v>
      </c>
      <c r="D1487" s="426" t="s">
        <v>1705</v>
      </c>
      <c r="E1487" s="426"/>
      <c r="F1487" s="426"/>
      <c r="EH1487" s="3"/>
      <c r="GS1487" s="2"/>
      <c r="GT1487" s="4"/>
      <c r="GU1487" s="4"/>
      <c r="GV1487" s="4"/>
      <c r="GW1487" s="4"/>
      <c r="GX1487" s="4"/>
      <c r="GY1487" s="4"/>
      <c r="GZ1487" s="4"/>
      <c r="HA1487" s="4"/>
      <c r="HG1487" s="134"/>
    </row>
    <row r="1488" spans="1:256" ht="87" customHeight="1" x14ac:dyDescent="0.2">
      <c r="A1488" s="108" t="s">
        <v>39</v>
      </c>
      <c r="B1488" s="381" t="s">
        <v>1706</v>
      </c>
      <c r="C1488" s="379" t="s">
        <v>1693</v>
      </c>
      <c r="D1488" s="426" t="s">
        <v>1707</v>
      </c>
      <c r="E1488" s="426"/>
      <c r="F1488" s="426"/>
      <c r="EH1488" s="3"/>
      <c r="GS1488" s="2"/>
      <c r="GT1488" s="4"/>
      <c r="GU1488" s="4"/>
      <c r="GV1488" s="4"/>
      <c r="GW1488" s="4"/>
      <c r="GX1488" s="4"/>
      <c r="GY1488" s="4"/>
      <c r="GZ1488" s="4"/>
      <c r="HA1488" s="4"/>
      <c r="HG1488" s="134"/>
    </row>
    <row r="1489" spans="1:215" ht="63.75" customHeight="1" x14ac:dyDescent="0.2">
      <c r="A1489" s="108" t="s">
        <v>41</v>
      </c>
      <c r="B1489" s="381" t="s">
        <v>1708</v>
      </c>
      <c r="C1489" s="379" t="s">
        <v>1693</v>
      </c>
      <c r="D1489" s="426" t="s">
        <v>1707</v>
      </c>
      <c r="E1489" s="426"/>
      <c r="F1489" s="426"/>
      <c r="EH1489" s="3"/>
      <c r="GS1489" s="2"/>
      <c r="GT1489" s="4"/>
      <c r="GU1489" s="4"/>
      <c r="GV1489" s="4"/>
      <c r="GW1489" s="4"/>
      <c r="GX1489" s="4"/>
      <c r="GY1489" s="4"/>
      <c r="GZ1489" s="4"/>
      <c r="HA1489" s="4"/>
      <c r="HG1489" s="134"/>
    </row>
    <row r="1490" spans="1:215" hidden="1" x14ac:dyDescent="0.2">
      <c r="EH1490" s="3"/>
      <c r="GS1490" s="3"/>
      <c r="GT1490" s="4"/>
      <c r="GU1490" s="4"/>
      <c r="GV1490" s="4"/>
      <c r="GW1490" s="4"/>
      <c r="GX1490" s="4"/>
      <c r="GY1490" s="4"/>
      <c r="GZ1490" s="4"/>
      <c r="HA1490" s="4"/>
    </row>
    <row r="1491" spans="1:215" hidden="1" x14ac:dyDescent="0.2">
      <c r="EH1491" s="3"/>
      <c r="GS1491" s="3"/>
      <c r="GT1491" s="4"/>
      <c r="GU1491" s="4"/>
      <c r="GV1491" s="4"/>
      <c r="GW1491" s="4"/>
      <c r="GX1491" s="4"/>
      <c r="GY1491" s="4"/>
      <c r="GZ1491" s="4"/>
      <c r="HA1491" s="4"/>
    </row>
    <row r="1492" spans="1:215" hidden="1" x14ac:dyDescent="0.2">
      <c r="EH1492" s="3"/>
      <c r="GS1492" s="3"/>
      <c r="GT1492" s="4"/>
      <c r="GU1492" s="4"/>
      <c r="GV1492" s="4"/>
      <c r="GW1492" s="4"/>
      <c r="GX1492" s="4"/>
      <c r="GY1492" s="4"/>
      <c r="GZ1492" s="4"/>
      <c r="HA1492" s="4"/>
    </row>
    <row r="1493" spans="1:215" hidden="1" x14ac:dyDescent="0.2">
      <c r="EH1493" s="3"/>
      <c r="GS1493" s="3"/>
      <c r="GT1493" s="4"/>
      <c r="GU1493" s="4"/>
      <c r="GV1493" s="4"/>
      <c r="GW1493" s="4"/>
      <c r="GX1493" s="4"/>
      <c r="GY1493" s="4"/>
      <c r="GZ1493" s="4"/>
      <c r="HA1493" s="4"/>
    </row>
    <row r="1494" spans="1:215" hidden="1" x14ac:dyDescent="0.2">
      <c r="EH1494" s="3"/>
      <c r="GS1494" s="3"/>
      <c r="GT1494" s="4"/>
      <c r="GU1494" s="4"/>
      <c r="GV1494" s="4"/>
      <c r="GW1494" s="4"/>
      <c r="GX1494" s="4"/>
      <c r="GY1494" s="4"/>
      <c r="GZ1494" s="4"/>
      <c r="HA1494" s="4"/>
    </row>
    <row r="1495" spans="1:215" hidden="1" x14ac:dyDescent="0.2">
      <c r="EH1495" s="3"/>
      <c r="GS1495" s="3"/>
      <c r="GT1495" s="4"/>
      <c r="GU1495" s="4"/>
      <c r="GV1495" s="4"/>
      <c r="GW1495" s="4"/>
      <c r="GX1495" s="4"/>
      <c r="GY1495" s="4"/>
      <c r="GZ1495" s="4"/>
      <c r="HA1495" s="4"/>
    </row>
    <row r="1496" spans="1:215" hidden="1" x14ac:dyDescent="0.2">
      <c r="EH1496" s="3"/>
      <c r="GS1496" s="3"/>
      <c r="GT1496" s="4"/>
      <c r="GU1496" s="4"/>
      <c r="GV1496" s="4"/>
      <c r="GW1496" s="4"/>
      <c r="GX1496" s="4"/>
      <c r="GY1496" s="4"/>
      <c r="GZ1496" s="4"/>
      <c r="HA1496" s="4"/>
    </row>
    <row r="1497" spans="1:215" hidden="1" x14ac:dyDescent="0.2">
      <c r="EH1497" s="3"/>
      <c r="GS1497" s="3"/>
      <c r="GT1497" s="4"/>
      <c r="GU1497" s="4"/>
      <c r="GV1497" s="4"/>
      <c r="GW1497" s="4"/>
      <c r="GX1497" s="4"/>
      <c r="GY1497" s="4"/>
      <c r="GZ1497" s="4"/>
      <c r="HA1497" s="4"/>
    </row>
    <row r="1498" spans="1:215" hidden="1" x14ac:dyDescent="0.2">
      <c r="EH1498" s="3"/>
      <c r="GS1498" s="3"/>
      <c r="GT1498" s="4"/>
      <c r="GU1498" s="4"/>
      <c r="GV1498" s="4"/>
      <c r="GW1498" s="4"/>
      <c r="GX1498" s="4"/>
      <c r="GY1498" s="4"/>
      <c r="GZ1498" s="4"/>
      <c r="HA1498" s="4"/>
    </row>
    <row r="1499" spans="1:215" hidden="1" x14ac:dyDescent="0.2">
      <c r="EH1499" s="3"/>
      <c r="GS1499" s="3"/>
      <c r="GT1499" s="4"/>
      <c r="GU1499" s="4"/>
      <c r="GV1499" s="4"/>
      <c r="GW1499" s="4"/>
      <c r="GX1499" s="4"/>
      <c r="GY1499" s="4"/>
      <c r="GZ1499" s="4"/>
      <c r="HA1499" s="4"/>
    </row>
    <row r="1500" spans="1:215" hidden="1" x14ac:dyDescent="0.2">
      <c r="EH1500" s="3"/>
      <c r="GS1500" s="3"/>
      <c r="GT1500" s="4"/>
      <c r="GU1500" s="4"/>
      <c r="GV1500" s="4"/>
      <c r="GW1500" s="4"/>
      <c r="GX1500" s="4"/>
      <c r="GY1500" s="4"/>
      <c r="GZ1500" s="4"/>
      <c r="HA1500" s="4"/>
    </row>
    <row r="1501" spans="1:215" hidden="1" x14ac:dyDescent="0.2">
      <c r="EH1501" s="3"/>
      <c r="GS1501" s="3"/>
      <c r="GT1501" s="4"/>
      <c r="GU1501" s="4"/>
      <c r="GV1501" s="4"/>
      <c r="GW1501" s="4"/>
      <c r="GX1501" s="4"/>
      <c r="GY1501" s="4"/>
      <c r="GZ1501" s="4"/>
      <c r="HA1501" s="4"/>
    </row>
    <row r="1502" spans="1:215" hidden="1" x14ac:dyDescent="0.2">
      <c r="EH1502" s="3"/>
      <c r="GS1502" s="3"/>
      <c r="GT1502" s="4"/>
      <c r="GU1502" s="4"/>
      <c r="GV1502" s="4"/>
      <c r="GW1502" s="4"/>
      <c r="GX1502" s="4"/>
      <c r="GY1502" s="4"/>
      <c r="GZ1502" s="4"/>
      <c r="HA1502" s="4"/>
    </row>
    <row r="1503" spans="1:215" hidden="1" x14ac:dyDescent="0.2">
      <c r="EH1503" s="3"/>
      <c r="GS1503" s="3"/>
      <c r="GT1503" s="4"/>
      <c r="GU1503" s="4"/>
      <c r="GV1503" s="4"/>
      <c r="GW1503" s="4"/>
      <c r="GX1503" s="4"/>
      <c r="GY1503" s="4"/>
      <c r="GZ1503" s="4"/>
      <c r="HA1503" s="4"/>
    </row>
    <row r="1504" spans="1:215" hidden="1" x14ac:dyDescent="0.2">
      <c r="EH1504" s="3"/>
      <c r="GS1504" s="3"/>
      <c r="GT1504" s="4"/>
      <c r="GU1504" s="4"/>
      <c r="GV1504" s="4"/>
      <c r="GW1504" s="4"/>
      <c r="GX1504" s="4"/>
      <c r="GY1504" s="4"/>
      <c r="GZ1504" s="4"/>
      <c r="HA1504" s="4"/>
    </row>
    <row r="1505" spans="138:209" hidden="1" x14ac:dyDescent="0.2">
      <c r="EH1505" s="3"/>
      <c r="GS1505" s="3"/>
      <c r="GT1505" s="4"/>
      <c r="GU1505" s="4"/>
      <c r="GV1505" s="4"/>
      <c r="GW1505" s="4"/>
      <c r="GX1505" s="4"/>
      <c r="GY1505" s="4"/>
      <c r="GZ1505" s="4"/>
      <c r="HA1505" s="4"/>
    </row>
    <row r="1506" spans="138:209" hidden="1" x14ac:dyDescent="0.2">
      <c r="EH1506" s="3"/>
      <c r="GS1506" s="3"/>
      <c r="GT1506" s="4"/>
      <c r="GU1506" s="4"/>
      <c r="GV1506" s="4"/>
      <c r="GW1506" s="4"/>
      <c r="GX1506" s="4"/>
      <c r="GY1506" s="4"/>
      <c r="GZ1506" s="4"/>
      <c r="HA1506" s="4"/>
    </row>
    <row r="1507" spans="138:209" hidden="1" x14ac:dyDescent="0.2">
      <c r="EH1507" s="3"/>
      <c r="GS1507" s="3"/>
      <c r="GT1507" s="4"/>
      <c r="GU1507" s="4"/>
      <c r="GV1507" s="4"/>
      <c r="GW1507" s="4"/>
      <c r="GX1507" s="4"/>
      <c r="GY1507" s="4"/>
      <c r="GZ1507" s="4"/>
      <c r="HA1507" s="4"/>
    </row>
    <row r="1508" spans="138:209" hidden="1" x14ac:dyDescent="0.2">
      <c r="EH1508" s="3"/>
      <c r="GS1508" s="3"/>
      <c r="GT1508" s="4"/>
      <c r="GU1508" s="4"/>
      <c r="GV1508" s="4"/>
      <c r="GW1508" s="4"/>
      <c r="GX1508" s="4"/>
      <c r="GY1508" s="4"/>
      <c r="GZ1508" s="4"/>
      <c r="HA1508" s="4"/>
    </row>
    <row r="1509" spans="138:209" hidden="1" x14ac:dyDescent="0.2">
      <c r="EH1509" s="3"/>
      <c r="GS1509" s="3"/>
      <c r="GT1509" s="4"/>
      <c r="GU1509" s="4"/>
      <c r="GV1509" s="4"/>
      <c r="GW1509" s="4"/>
      <c r="GX1509" s="4"/>
      <c r="GY1509" s="4"/>
      <c r="GZ1509" s="4"/>
      <c r="HA1509" s="4"/>
    </row>
    <row r="1510" spans="138:209" ht="6" hidden="1" customHeight="1" x14ac:dyDescent="0.2">
      <c r="EH1510" s="3"/>
      <c r="GS1510" s="3"/>
      <c r="GT1510" s="4"/>
      <c r="GU1510" s="4"/>
      <c r="GV1510" s="4"/>
      <c r="GW1510" s="4"/>
      <c r="GX1510" s="4"/>
      <c r="GY1510" s="4"/>
      <c r="GZ1510" s="4"/>
      <c r="HA1510" s="4"/>
    </row>
    <row r="1511" spans="138:209" ht="3" hidden="1" customHeight="1" x14ac:dyDescent="0.2">
      <c r="EH1511" s="3"/>
      <c r="GS1511" s="3"/>
      <c r="GT1511" s="4"/>
      <c r="GU1511" s="4"/>
      <c r="GV1511" s="4"/>
      <c r="GW1511" s="4"/>
      <c r="GX1511" s="4"/>
      <c r="GY1511" s="4"/>
      <c r="GZ1511" s="4"/>
      <c r="HA1511" s="4"/>
    </row>
    <row r="1512" spans="138:209" ht="1.5" hidden="1" customHeight="1" x14ac:dyDescent="0.2">
      <c r="EH1512" s="3"/>
      <c r="GS1512" s="3"/>
      <c r="GT1512" s="4"/>
      <c r="GU1512" s="4"/>
      <c r="GV1512" s="4"/>
      <c r="GW1512" s="4"/>
      <c r="GX1512" s="4"/>
      <c r="GY1512" s="4"/>
      <c r="GZ1512" s="4"/>
      <c r="HA1512" s="4"/>
    </row>
    <row r="1513" spans="138:209" ht="5.25" hidden="1" customHeight="1" x14ac:dyDescent="0.2">
      <c r="EH1513" s="3"/>
      <c r="GS1513" s="3"/>
      <c r="GT1513" s="4"/>
      <c r="GU1513" s="4"/>
      <c r="GV1513" s="4"/>
      <c r="GW1513" s="4"/>
      <c r="GX1513" s="4"/>
      <c r="GY1513" s="4"/>
      <c r="GZ1513" s="4"/>
      <c r="HA1513" s="4"/>
    </row>
    <row r="1514" spans="138:209" hidden="1" x14ac:dyDescent="0.2">
      <c r="EH1514" s="3"/>
      <c r="GS1514" s="3"/>
      <c r="GT1514" s="4"/>
      <c r="GU1514" s="4"/>
      <c r="GV1514" s="4"/>
      <c r="GW1514" s="4"/>
      <c r="GX1514" s="4"/>
      <c r="GY1514" s="4"/>
      <c r="GZ1514" s="4"/>
      <c r="HA1514" s="4"/>
    </row>
    <row r="1515" spans="138:209" hidden="1" x14ac:dyDescent="0.2">
      <c r="EH1515" s="3"/>
      <c r="GS1515" s="3"/>
      <c r="GT1515" s="4"/>
      <c r="GU1515" s="4"/>
      <c r="GV1515" s="4"/>
      <c r="GW1515" s="4"/>
      <c r="GX1515" s="4"/>
      <c r="GY1515" s="4"/>
      <c r="GZ1515" s="4"/>
      <c r="HA1515" s="4"/>
    </row>
    <row r="1516" spans="138:209" hidden="1" x14ac:dyDescent="0.2">
      <c r="EH1516" s="3"/>
      <c r="GS1516" s="3"/>
      <c r="GT1516" s="4"/>
      <c r="GU1516" s="4"/>
      <c r="GV1516" s="4"/>
      <c r="GW1516" s="4"/>
      <c r="GX1516" s="4"/>
      <c r="GY1516" s="4"/>
      <c r="GZ1516" s="4"/>
      <c r="HA1516" s="4"/>
    </row>
    <row r="1517" spans="138:209" hidden="1" x14ac:dyDescent="0.2">
      <c r="EH1517" s="3"/>
      <c r="GS1517" s="3"/>
      <c r="GT1517" s="4"/>
      <c r="GU1517" s="4"/>
      <c r="GV1517" s="4"/>
      <c r="GW1517" s="4"/>
      <c r="GX1517" s="4"/>
      <c r="GY1517" s="4"/>
      <c r="GZ1517" s="4"/>
      <c r="HA1517" s="4"/>
    </row>
    <row r="1518" spans="138:209" hidden="1" x14ac:dyDescent="0.2">
      <c r="EH1518" s="3"/>
      <c r="GS1518" s="3"/>
      <c r="GT1518" s="4"/>
      <c r="GU1518" s="4"/>
      <c r="GV1518" s="4"/>
      <c r="GW1518" s="4"/>
      <c r="GX1518" s="4"/>
      <c r="GY1518" s="4"/>
      <c r="GZ1518" s="4"/>
      <c r="HA1518" s="4"/>
    </row>
    <row r="1519" spans="138:209" hidden="1" x14ac:dyDescent="0.2">
      <c r="EH1519" s="3"/>
      <c r="GS1519" s="3"/>
      <c r="GT1519" s="4"/>
      <c r="GU1519" s="4"/>
      <c r="GV1519" s="4"/>
      <c r="GW1519" s="4"/>
      <c r="GX1519" s="4"/>
      <c r="GY1519" s="4"/>
      <c r="GZ1519" s="4"/>
      <c r="HA1519" s="4"/>
    </row>
    <row r="1520" spans="138:209" hidden="1" x14ac:dyDescent="0.2">
      <c r="EH1520" s="3"/>
      <c r="GS1520" s="3"/>
      <c r="GT1520" s="4"/>
      <c r="GU1520" s="4"/>
      <c r="GV1520" s="4"/>
      <c r="GW1520" s="4"/>
      <c r="GX1520" s="4"/>
      <c r="GY1520" s="4"/>
      <c r="GZ1520" s="4"/>
      <c r="HA1520" s="4"/>
    </row>
    <row r="1521" spans="1:209" hidden="1" x14ac:dyDescent="0.2">
      <c r="EH1521" s="3"/>
      <c r="GS1521" s="3"/>
      <c r="GT1521" s="4"/>
      <c r="GU1521" s="4"/>
      <c r="GV1521" s="4"/>
      <c r="GW1521" s="4"/>
      <c r="GX1521" s="4"/>
      <c r="GY1521" s="4"/>
      <c r="GZ1521" s="4"/>
      <c r="HA1521" s="4"/>
    </row>
    <row r="1522" spans="1:209" hidden="1" x14ac:dyDescent="0.2">
      <c r="EH1522" s="3"/>
      <c r="GS1522" s="3"/>
      <c r="GT1522" s="4"/>
      <c r="GU1522" s="4"/>
      <c r="GV1522" s="4"/>
      <c r="GW1522" s="4"/>
      <c r="GX1522" s="4"/>
      <c r="GY1522" s="4"/>
      <c r="GZ1522" s="4"/>
      <c r="HA1522" s="4"/>
    </row>
    <row r="1523" spans="1:209" hidden="1" x14ac:dyDescent="0.2">
      <c r="EH1523" s="3"/>
      <c r="GS1523" s="3"/>
      <c r="GT1523" s="4"/>
      <c r="GU1523" s="4"/>
      <c r="GV1523" s="4"/>
      <c r="GW1523" s="4"/>
      <c r="GX1523" s="4"/>
      <c r="GY1523" s="4"/>
      <c r="GZ1523" s="4"/>
      <c r="HA1523" s="4"/>
    </row>
    <row r="1524" spans="1:209" hidden="1" x14ac:dyDescent="0.2">
      <c r="EH1524" s="3"/>
      <c r="GS1524" s="3"/>
      <c r="GT1524" s="4"/>
      <c r="GU1524" s="4"/>
      <c r="GV1524" s="4"/>
      <c r="GW1524" s="4"/>
      <c r="GX1524" s="4"/>
      <c r="GY1524" s="4"/>
      <c r="GZ1524" s="4"/>
      <c r="HA1524" s="4"/>
    </row>
    <row r="1525" spans="1:209" hidden="1" x14ac:dyDescent="0.2">
      <c r="EH1525" s="3"/>
      <c r="GS1525" s="3"/>
      <c r="GT1525" s="4"/>
      <c r="GU1525" s="4"/>
      <c r="GV1525" s="4"/>
      <c r="GW1525" s="4"/>
      <c r="GX1525" s="4"/>
      <c r="GY1525" s="4"/>
      <c r="GZ1525" s="4"/>
      <c r="HA1525" s="4"/>
    </row>
    <row r="1526" spans="1:209" hidden="1" x14ac:dyDescent="0.2">
      <c r="EH1526" s="3"/>
      <c r="GS1526" s="3"/>
      <c r="GT1526" s="4"/>
      <c r="GU1526" s="4"/>
      <c r="GV1526" s="4"/>
      <c r="GW1526" s="4"/>
      <c r="GX1526" s="4"/>
      <c r="GY1526" s="4"/>
      <c r="GZ1526" s="4"/>
      <c r="HA1526" s="4"/>
    </row>
    <row r="1527" spans="1:209" ht="56.25" hidden="1" customHeight="1" x14ac:dyDescent="0.2">
      <c r="EH1527" s="3"/>
      <c r="GS1527" s="3"/>
      <c r="GT1527" s="4"/>
      <c r="GU1527" s="4"/>
      <c r="GV1527" s="4"/>
      <c r="GW1527" s="4"/>
      <c r="GX1527" s="4"/>
      <c r="GY1527" s="4"/>
      <c r="GZ1527" s="4"/>
      <c r="HA1527" s="4"/>
    </row>
    <row r="1528" spans="1:209" ht="56.25" hidden="1" customHeight="1" x14ac:dyDescent="0.2">
      <c r="EH1528" s="3"/>
      <c r="GS1528" s="3"/>
      <c r="GT1528" s="4"/>
      <c r="GU1528" s="4"/>
      <c r="GV1528" s="4"/>
      <c r="GW1528" s="4"/>
      <c r="GX1528" s="4"/>
      <c r="GY1528" s="4"/>
      <c r="GZ1528" s="4"/>
      <c r="HA1528" s="4"/>
    </row>
    <row r="1529" spans="1:209" ht="56.25" hidden="1" customHeight="1" x14ac:dyDescent="0.2">
      <c r="EH1529" s="3"/>
      <c r="GS1529" s="3"/>
      <c r="GT1529" s="4"/>
      <c r="GU1529" s="4"/>
      <c r="GV1529" s="4"/>
      <c r="GW1529" s="4"/>
      <c r="GX1529" s="4"/>
      <c r="GY1529" s="4"/>
      <c r="GZ1529" s="4"/>
      <c r="HA1529" s="4"/>
    </row>
    <row r="1530" spans="1:209" ht="56.25" hidden="1" customHeight="1" x14ac:dyDescent="0.2">
      <c r="EH1530" s="3"/>
      <c r="GS1530" s="3"/>
      <c r="GT1530" s="4"/>
      <c r="GU1530" s="4"/>
      <c r="GV1530" s="4"/>
      <c r="GW1530" s="4"/>
      <c r="GX1530" s="4"/>
      <c r="GY1530" s="4"/>
      <c r="GZ1530" s="4"/>
      <c r="HA1530" s="4"/>
    </row>
    <row r="1531" spans="1:209" ht="56.25" hidden="1" customHeight="1" x14ac:dyDescent="0.2">
      <c r="EH1531" s="3"/>
      <c r="GS1531" s="3"/>
      <c r="GT1531" s="4"/>
      <c r="GU1531" s="4"/>
      <c r="GV1531" s="4"/>
      <c r="GW1531" s="4"/>
      <c r="GX1531" s="4"/>
      <c r="GY1531" s="4"/>
      <c r="GZ1531" s="4"/>
      <c r="HA1531" s="4"/>
    </row>
    <row r="1532" spans="1:209" ht="288" hidden="1" customHeight="1" x14ac:dyDescent="0.2">
      <c r="EH1532" s="3"/>
      <c r="GS1532" s="2"/>
      <c r="GT1532" s="4"/>
      <c r="GU1532" s="4"/>
      <c r="GV1532" s="4"/>
      <c r="GW1532" s="4"/>
      <c r="GX1532" s="4"/>
      <c r="GY1532" s="4"/>
      <c r="GZ1532" s="4"/>
      <c r="HA1532" s="4"/>
    </row>
    <row r="1533" spans="1:209" ht="50.25" customHeight="1" x14ac:dyDescent="0.2">
      <c r="A1533" s="427" t="s">
        <v>2063</v>
      </c>
      <c r="B1533" s="427"/>
      <c r="C1533" s="427"/>
      <c r="D1533" s="427"/>
      <c r="E1533" s="427"/>
      <c r="F1533" s="427"/>
      <c r="G1533" s="427"/>
      <c r="EH1533" s="3"/>
      <c r="GS1533" s="2"/>
      <c r="GT1533" s="4"/>
      <c r="GU1533" s="4"/>
      <c r="GV1533" s="4"/>
      <c r="GW1533" s="4"/>
      <c r="GX1533" s="4"/>
      <c r="GY1533" s="4"/>
      <c r="GZ1533" s="4"/>
      <c r="HA1533" s="4"/>
    </row>
    <row r="1534" spans="1:209" ht="27" customHeight="1" x14ac:dyDescent="0.2">
      <c r="A1534" s="427" t="s">
        <v>1726</v>
      </c>
      <c r="B1534" s="427"/>
      <c r="C1534" s="427"/>
      <c r="D1534" s="427"/>
      <c r="E1534" s="427"/>
      <c r="F1534" s="427"/>
      <c r="G1534" s="427"/>
      <c r="EH1534" s="193"/>
      <c r="EI1534" s="4"/>
      <c r="EJ1534" s="4"/>
      <c r="EK1534" s="4"/>
      <c r="EL1534" s="4"/>
      <c r="EM1534" s="4"/>
      <c r="EN1534" s="4"/>
      <c r="EO1534" s="4"/>
      <c r="EP1534" s="4"/>
    </row>
    <row r="1535" spans="1:209" ht="13.5" customHeight="1" x14ac:dyDescent="0.2">
      <c r="A1535" s="193"/>
      <c r="B1535" s="193"/>
      <c r="C1535" s="193"/>
      <c r="D1535" s="193"/>
      <c r="E1535" s="193"/>
      <c r="F1535" s="193"/>
      <c r="EH1535" s="193"/>
      <c r="EI1535" s="4"/>
      <c r="EJ1535" s="4"/>
      <c r="EK1535" s="4"/>
      <c r="EL1535" s="4"/>
      <c r="EM1535" s="4"/>
      <c r="EN1535" s="4"/>
      <c r="EO1535" s="4"/>
      <c r="EP1535" s="4"/>
    </row>
    <row r="1536" spans="1:209" ht="70.5" customHeight="1" x14ac:dyDescent="0.2">
      <c r="A1536" s="108" t="s">
        <v>1321</v>
      </c>
      <c r="B1536" s="380" t="s">
        <v>1021</v>
      </c>
      <c r="C1536" s="380" t="s">
        <v>9</v>
      </c>
      <c r="D1536" s="91" t="s">
        <v>1712</v>
      </c>
      <c r="E1536" s="386" t="s">
        <v>10</v>
      </c>
      <c r="F1536" s="8" t="s">
        <v>11</v>
      </c>
      <c r="G1536" s="386" t="s">
        <v>12</v>
      </c>
      <c r="EH1536" s="193"/>
      <c r="EI1536" s="4"/>
      <c r="EJ1536" s="4"/>
      <c r="EK1536" s="4"/>
      <c r="EL1536" s="4"/>
      <c r="EM1536" s="4"/>
      <c r="EN1536" s="4"/>
      <c r="EO1536" s="4"/>
      <c r="EP1536" s="4"/>
    </row>
    <row r="1537" spans="1:146" ht="18.75" customHeight="1" x14ac:dyDescent="0.2">
      <c r="A1537" s="108">
        <v>1</v>
      </c>
      <c r="B1537" s="170">
        <v>2</v>
      </c>
      <c r="C1537" s="170">
        <v>3</v>
      </c>
      <c r="D1537" s="108" t="s">
        <v>198</v>
      </c>
      <c r="E1537" s="170">
        <v>5</v>
      </c>
      <c r="F1537" s="170">
        <v>6</v>
      </c>
      <c r="G1537" s="108" t="s">
        <v>271</v>
      </c>
      <c r="EH1537" s="193"/>
      <c r="EI1537" s="4"/>
      <c r="EJ1537" s="4"/>
      <c r="EK1537" s="4"/>
      <c r="EL1537" s="4"/>
      <c r="EM1537" s="4"/>
      <c r="EN1537" s="4"/>
      <c r="EO1537" s="4"/>
      <c r="EP1537" s="4"/>
    </row>
    <row r="1538" spans="1:146" ht="55.5" customHeight="1" x14ac:dyDescent="0.2">
      <c r="A1538" s="108" t="s">
        <v>14</v>
      </c>
      <c r="B1538" s="381" t="s">
        <v>1727</v>
      </c>
      <c r="C1538" s="379" t="s">
        <v>1728</v>
      </c>
      <c r="D1538" s="251" t="s">
        <v>1718</v>
      </c>
      <c r="E1538" s="389">
        <f>754.56*1.04*1.055*1.05</f>
        <v>869.3</v>
      </c>
      <c r="F1538" s="14">
        <f>E1538*20%</f>
        <v>173.86</v>
      </c>
      <c r="G1538" s="97">
        <f>E1538+F1538</f>
        <v>1043.1600000000001</v>
      </c>
      <c r="EH1538" s="3"/>
    </row>
    <row r="1539" spans="1:146" ht="46.5" customHeight="1" x14ac:dyDescent="0.2">
      <c r="A1539" s="108" t="s">
        <v>26</v>
      </c>
      <c r="B1539" s="381" t="s">
        <v>1729</v>
      </c>
      <c r="C1539" s="379" t="s">
        <v>1689</v>
      </c>
      <c r="D1539" s="251" t="s">
        <v>1718</v>
      </c>
      <c r="E1539" s="389">
        <f>34.92*1.04*1.055*1.05</f>
        <v>40.229999999999997</v>
      </c>
      <c r="F1539" s="14">
        <f>E1539*20%</f>
        <v>8.0500000000000007</v>
      </c>
      <c r="G1539" s="97">
        <f>E1539+F1539</f>
        <v>48.28</v>
      </c>
      <c r="EH1539" s="3"/>
    </row>
    <row r="1540" spans="1:146" ht="72" customHeight="1" x14ac:dyDescent="0.2">
      <c r="A1540" s="108" t="s">
        <v>29</v>
      </c>
      <c r="B1540" s="381" t="s">
        <v>2262</v>
      </c>
      <c r="C1540" s="379" t="s">
        <v>1728</v>
      </c>
      <c r="D1540" s="251" t="s">
        <v>1718</v>
      </c>
      <c r="E1540" s="389">
        <f>1428.57*1.055*1.05</f>
        <v>1582.5</v>
      </c>
      <c r="F1540" s="14">
        <f>E1540*20%</f>
        <v>316.5</v>
      </c>
      <c r="G1540" s="97">
        <f>E1540+F1540</f>
        <v>1899</v>
      </c>
      <c r="EH1540" s="3"/>
    </row>
    <row r="1541" spans="1:146" ht="108.75" customHeight="1" x14ac:dyDescent="0.2">
      <c r="A1541" s="428" t="s">
        <v>1730</v>
      </c>
      <c r="B1541" s="428"/>
      <c r="C1541" s="428"/>
      <c r="D1541" s="428"/>
      <c r="E1541" s="428"/>
      <c r="F1541" s="428"/>
      <c r="G1541" s="428"/>
      <c r="EH1541" s="3"/>
    </row>
    <row r="1542" spans="1:146" ht="47.25" customHeight="1" x14ac:dyDescent="0.2">
      <c r="A1542" s="420" t="s">
        <v>2064</v>
      </c>
      <c r="B1542" s="420"/>
      <c r="C1542" s="420"/>
      <c r="D1542" s="420"/>
      <c r="E1542" s="420"/>
      <c r="F1542" s="420"/>
      <c r="G1542" s="420"/>
      <c r="EH1542" s="3"/>
    </row>
    <row r="1543" spans="1:146" ht="161.25" customHeight="1" x14ac:dyDescent="0.2">
      <c r="A1543" s="407" t="s">
        <v>14</v>
      </c>
      <c r="B1543" s="408" t="s">
        <v>1994</v>
      </c>
      <c r="C1543" s="409" t="s">
        <v>1717</v>
      </c>
      <c r="D1543" s="188" t="s">
        <v>1720</v>
      </c>
      <c r="E1543" s="85">
        <f>3500*1.055</f>
        <v>3692.5</v>
      </c>
      <c r="F1543" s="14">
        <f t="shared" ref="F1543:F1545" si="146">E1543*20%</f>
        <v>738.5</v>
      </c>
      <c r="G1543" s="85">
        <f t="shared" ref="G1543:G1545" si="147">E1543+F1543</f>
        <v>4431</v>
      </c>
      <c r="EH1543" s="3"/>
    </row>
    <row r="1544" spans="1:146" ht="29.25" customHeight="1" x14ac:dyDescent="0.2">
      <c r="A1544" s="421" t="s">
        <v>26</v>
      </c>
      <c r="B1544" s="422" t="s">
        <v>1995</v>
      </c>
      <c r="C1544" s="423" t="s">
        <v>1717</v>
      </c>
      <c r="D1544" s="188" t="s">
        <v>1720</v>
      </c>
      <c r="E1544" s="85">
        <f>3500*1.055</f>
        <v>3692.5</v>
      </c>
      <c r="F1544" s="14">
        <f t="shared" si="146"/>
        <v>738.5</v>
      </c>
      <c r="G1544" s="85">
        <f t="shared" si="147"/>
        <v>4431</v>
      </c>
      <c r="EH1544" s="3"/>
    </row>
    <row r="1545" spans="1:146" ht="128.25" customHeight="1" x14ac:dyDescent="0.2">
      <c r="A1545" s="421"/>
      <c r="B1545" s="422"/>
      <c r="C1545" s="423"/>
      <c r="D1545" s="81" t="s">
        <v>1723</v>
      </c>
      <c r="E1545" s="85">
        <f>4000*1.055</f>
        <v>4220</v>
      </c>
      <c r="F1545" s="14">
        <f t="shared" si="146"/>
        <v>844</v>
      </c>
      <c r="G1545" s="85">
        <f t="shared" si="147"/>
        <v>5064</v>
      </c>
      <c r="EH1545" s="3"/>
    </row>
    <row r="1546" spans="1:146" ht="27" customHeight="1" x14ac:dyDescent="0.2">
      <c r="A1546" s="202"/>
      <c r="B1546" s="293"/>
      <c r="C1546" s="294"/>
      <c r="D1546" s="84"/>
      <c r="E1546" s="89"/>
      <c r="F1546" s="96"/>
      <c r="G1546" s="89"/>
      <c r="EH1546" s="3"/>
    </row>
    <row r="1547" spans="1:146" ht="20.25" customHeight="1" x14ac:dyDescent="0.2">
      <c r="A1547" s="202"/>
      <c r="B1547" s="293"/>
      <c r="C1547" s="294"/>
      <c r="D1547" s="84"/>
      <c r="E1547" s="89"/>
      <c r="F1547" s="96"/>
      <c r="G1547" s="89"/>
      <c r="EH1547" s="3"/>
    </row>
    <row r="1548" spans="1:146" s="227" customFormat="1" ht="19.5" customHeight="1" x14ac:dyDescent="0.2">
      <c r="A1548" s="424" t="s">
        <v>2222</v>
      </c>
      <c r="B1548" s="424"/>
      <c r="C1548" s="424"/>
      <c r="D1548" s="424"/>
      <c r="E1548" s="424"/>
      <c r="F1548" s="424"/>
      <c r="G1548" s="195"/>
      <c r="H1548" s="253"/>
      <c r="I1548" s="253"/>
      <c r="J1548" s="253"/>
      <c r="K1548" s="253"/>
      <c r="L1548" s="253"/>
      <c r="M1548" s="253"/>
      <c r="N1548" s="253"/>
      <c r="O1548" s="253"/>
      <c r="P1548" s="253"/>
      <c r="Q1548" s="253"/>
      <c r="R1548" s="253"/>
      <c r="S1548" s="253"/>
      <c r="T1548" s="253"/>
      <c r="U1548" s="253"/>
      <c r="V1548" s="253"/>
      <c r="W1548" s="253"/>
      <c r="X1548" s="253"/>
      <c r="Y1548" s="253"/>
      <c r="Z1548" s="253"/>
      <c r="AA1548" s="253"/>
      <c r="AB1548" s="253"/>
      <c r="AC1548" s="253"/>
      <c r="AD1548" s="253"/>
      <c r="AE1548" s="253"/>
      <c r="AF1548" s="253"/>
      <c r="AG1548" s="253"/>
      <c r="AH1548" s="253"/>
      <c r="AI1548" s="253"/>
      <c r="AJ1548" s="253"/>
      <c r="AK1548" s="253"/>
      <c r="AL1548" s="253"/>
      <c r="AM1548" s="253"/>
      <c r="AN1548" s="253"/>
      <c r="AO1548" s="253"/>
      <c r="AP1548" s="253"/>
      <c r="AQ1548" s="253"/>
      <c r="AR1548" s="253"/>
      <c r="AS1548" s="253"/>
      <c r="AT1548" s="253"/>
      <c r="AU1548" s="253"/>
      <c r="AV1548" s="253"/>
      <c r="AW1548" s="253"/>
      <c r="AX1548" s="253"/>
      <c r="AY1548" s="253"/>
      <c r="AZ1548" s="253"/>
      <c r="BA1548" s="253"/>
      <c r="BB1548" s="253"/>
      <c r="BC1548" s="253"/>
      <c r="BD1548" s="253"/>
      <c r="BE1548" s="253"/>
      <c r="BF1548" s="253"/>
      <c r="BG1548" s="253"/>
      <c r="BH1548" s="253"/>
      <c r="BI1548" s="253"/>
      <c r="BJ1548" s="253"/>
      <c r="BK1548" s="253"/>
      <c r="BL1548" s="253"/>
      <c r="BM1548" s="253"/>
      <c r="BN1548" s="253"/>
      <c r="BO1548" s="253"/>
      <c r="BP1548" s="253"/>
      <c r="BQ1548" s="253"/>
      <c r="BR1548" s="253"/>
      <c r="BS1548" s="253"/>
      <c r="BT1548" s="253"/>
      <c r="BU1548" s="253"/>
      <c r="BV1548" s="253"/>
      <c r="BW1548" s="253"/>
      <c r="BX1548" s="253"/>
      <c r="BY1548" s="253"/>
      <c r="BZ1548" s="253"/>
      <c r="CA1548" s="253"/>
      <c r="CB1548" s="253"/>
      <c r="CC1548" s="253"/>
      <c r="CD1548" s="253"/>
      <c r="CE1548" s="253"/>
      <c r="CF1548" s="253"/>
      <c r="CG1548" s="253"/>
      <c r="CH1548" s="253"/>
      <c r="CI1548" s="253"/>
      <c r="CJ1548" s="253"/>
      <c r="CK1548" s="253"/>
      <c r="CL1548" s="253"/>
      <c r="CM1548" s="253"/>
      <c r="CN1548" s="253"/>
      <c r="CO1548" s="253"/>
      <c r="CP1548" s="253"/>
      <c r="CQ1548" s="253"/>
      <c r="CR1548" s="253"/>
      <c r="CS1548" s="253"/>
      <c r="CT1548" s="253"/>
      <c r="CU1548" s="253"/>
      <c r="CV1548" s="253"/>
      <c r="CW1548" s="253"/>
      <c r="CX1548" s="253"/>
      <c r="CY1548" s="253"/>
      <c r="CZ1548" s="253"/>
      <c r="DA1548" s="253"/>
      <c r="DB1548" s="253"/>
      <c r="DC1548" s="253"/>
      <c r="DD1548" s="253"/>
      <c r="DE1548" s="253"/>
      <c r="DF1548" s="253"/>
      <c r="DG1548" s="253"/>
      <c r="DH1548" s="253"/>
      <c r="DI1548" s="253"/>
      <c r="EH1548" s="226"/>
    </row>
    <row r="1549" spans="1:146" s="227" customFormat="1" ht="12" customHeight="1" x14ac:dyDescent="0.2">
      <c r="A1549" s="372"/>
      <c r="B1549" s="372"/>
      <c r="C1549" s="372"/>
      <c r="D1549" s="372"/>
      <c r="E1549" s="372"/>
      <c r="F1549" s="372"/>
      <c r="G1549" s="195"/>
      <c r="H1549" s="253"/>
      <c r="I1549" s="253"/>
      <c r="J1549" s="253"/>
      <c r="K1549" s="253"/>
      <c r="L1549" s="253"/>
      <c r="M1549" s="253"/>
      <c r="N1549" s="253"/>
      <c r="O1549" s="253"/>
      <c r="P1549" s="253"/>
      <c r="Q1549" s="253"/>
      <c r="R1549" s="253"/>
      <c r="S1549" s="253"/>
      <c r="T1549" s="253"/>
      <c r="U1549" s="253"/>
      <c r="V1549" s="253"/>
      <c r="W1549" s="253"/>
      <c r="X1549" s="253"/>
      <c r="Y1549" s="253"/>
      <c r="Z1549" s="253"/>
      <c r="AA1549" s="253"/>
      <c r="AB1549" s="253"/>
      <c r="AC1549" s="253"/>
      <c r="AD1549" s="253"/>
      <c r="AE1549" s="253"/>
      <c r="AF1549" s="253"/>
      <c r="AG1549" s="253"/>
      <c r="AH1549" s="253"/>
      <c r="AI1549" s="253"/>
      <c r="AJ1549" s="253"/>
      <c r="AK1549" s="253"/>
      <c r="AL1549" s="253"/>
      <c r="AM1549" s="253"/>
      <c r="AN1549" s="253"/>
      <c r="AO1549" s="253"/>
      <c r="AP1549" s="253"/>
      <c r="AQ1549" s="253"/>
      <c r="AR1549" s="253"/>
      <c r="AS1549" s="253"/>
      <c r="AT1549" s="253"/>
      <c r="AU1549" s="253"/>
      <c r="AV1549" s="253"/>
      <c r="AW1549" s="253"/>
      <c r="AX1549" s="253"/>
      <c r="AY1549" s="253"/>
      <c r="AZ1549" s="253"/>
      <c r="BA1549" s="253"/>
      <c r="BB1549" s="253"/>
      <c r="BC1549" s="253"/>
      <c r="BD1549" s="253"/>
      <c r="BE1549" s="253"/>
      <c r="BF1549" s="253"/>
      <c r="BG1549" s="253"/>
      <c r="BH1549" s="253"/>
      <c r="BI1549" s="253"/>
      <c r="BJ1549" s="253"/>
      <c r="BK1549" s="253"/>
      <c r="BL1549" s="253"/>
      <c r="BM1549" s="253"/>
      <c r="BN1549" s="253"/>
      <c r="BO1549" s="253"/>
      <c r="BP1549" s="253"/>
      <c r="BQ1549" s="253"/>
      <c r="BR1549" s="253"/>
      <c r="BS1549" s="253"/>
      <c r="BT1549" s="253"/>
      <c r="BU1549" s="253"/>
      <c r="BV1549" s="253"/>
      <c r="BW1549" s="253"/>
      <c r="BX1549" s="253"/>
      <c r="BY1549" s="253"/>
      <c r="BZ1549" s="253"/>
      <c r="CA1549" s="253"/>
      <c r="CB1549" s="253"/>
      <c r="CC1549" s="253"/>
      <c r="CD1549" s="253"/>
      <c r="CE1549" s="253"/>
      <c r="CF1549" s="253"/>
      <c r="CG1549" s="253"/>
      <c r="CH1549" s="253"/>
      <c r="CI1549" s="253"/>
      <c r="CJ1549" s="253"/>
      <c r="CK1549" s="253"/>
      <c r="CL1549" s="253"/>
      <c r="CM1549" s="253"/>
      <c r="CN1549" s="253"/>
      <c r="CO1549" s="253"/>
      <c r="CP1549" s="253"/>
      <c r="CQ1549" s="253"/>
      <c r="CR1549" s="253"/>
      <c r="CS1549" s="253"/>
      <c r="CT1549" s="253"/>
      <c r="CU1549" s="253"/>
      <c r="CV1549" s="253"/>
      <c r="CW1549" s="253"/>
      <c r="CX1549" s="253"/>
      <c r="CY1549" s="253"/>
      <c r="CZ1549" s="253"/>
      <c r="DA1549" s="253"/>
      <c r="DB1549" s="253"/>
      <c r="DC1549" s="253"/>
      <c r="DD1549" s="253"/>
      <c r="DE1549" s="253"/>
      <c r="DF1549" s="253"/>
      <c r="DG1549" s="253"/>
      <c r="DH1549" s="253"/>
      <c r="DI1549" s="253"/>
      <c r="EH1549" s="226"/>
    </row>
    <row r="1550" spans="1:146" s="227" customFormat="1" ht="79.5" customHeight="1" x14ac:dyDescent="0.2">
      <c r="A1550" s="108" t="s">
        <v>1321</v>
      </c>
      <c r="B1550" s="380" t="s">
        <v>1021</v>
      </c>
      <c r="C1550" s="380" t="s">
        <v>9</v>
      </c>
      <c r="D1550" s="386" t="s">
        <v>10</v>
      </c>
      <c r="E1550" s="8" t="s">
        <v>11</v>
      </c>
      <c r="F1550" s="386" t="s">
        <v>12</v>
      </c>
      <c r="G1550" s="371"/>
      <c r="H1550" s="253"/>
      <c r="I1550" s="253"/>
      <c r="J1550" s="253"/>
      <c r="K1550" s="253"/>
      <c r="L1550" s="253"/>
      <c r="M1550" s="253"/>
      <c r="N1550" s="253"/>
      <c r="O1550" s="253"/>
      <c r="P1550" s="253"/>
      <c r="Q1550" s="253"/>
      <c r="R1550" s="253"/>
      <c r="S1550" s="253"/>
      <c r="T1550" s="253"/>
      <c r="U1550" s="253"/>
      <c r="V1550" s="253"/>
      <c r="W1550" s="253"/>
      <c r="X1550" s="253"/>
      <c r="Y1550" s="253"/>
      <c r="Z1550" s="253"/>
      <c r="AA1550" s="253"/>
      <c r="AB1550" s="253"/>
      <c r="AC1550" s="253"/>
      <c r="AD1550" s="253"/>
      <c r="AE1550" s="253"/>
      <c r="AF1550" s="253"/>
      <c r="AG1550" s="253"/>
      <c r="AH1550" s="253"/>
      <c r="AI1550" s="253"/>
      <c r="AJ1550" s="253"/>
      <c r="AK1550" s="253"/>
      <c r="AL1550" s="253"/>
      <c r="AM1550" s="253"/>
      <c r="AN1550" s="253"/>
      <c r="AO1550" s="253"/>
      <c r="AP1550" s="253"/>
      <c r="AQ1550" s="253"/>
      <c r="AR1550" s="253"/>
      <c r="AS1550" s="253"/>
      <c r="AT1550" s="253"/>
      <c r="AU1550" s="253"/>
      <c r="AV1550" s="253"/>
      <c r="AW1550" s="253"/>
      <c r="AX1550" s="253"/>
      <c r="AY1550" s="253"/>
      <c r="AZ1550" s="253"/>
      <c r="BA1550" s="253"/>
      <c r="BB1550" s="253"/>
      <c r="BC1550" s="253"/>
      <c r="BD1550" s="253"/>
      <c r="BE1550" s="253"/>
      <c r="BF1550" s="253"/>
      <c r="BG1550" s="253"/>
      <c r="BH1550" s="253"/>
      <c r="BI1550" s="253"/>
      <c r="BJ1550" s="253"/>
      <c r="BK1550" s="253"/>
      <c r="BL1550" s="253"/>
      <c r="BM1550" s="253"/>
      <c r="BN1550" s="253"/>
      <c r="BO1550" s="253"/>
      <c r="BP1550" s="253"/>
      <c r="BQ1550" s="253"/>
      <c r="BR1550" s="253"/>
      <c r="BS1550" s="253"/>
      <c r="BT1550" s="253"/>
      <c r="BU1550" s="253"/>
      <c r="BV1550" s="253"/>
      <c r="BW1550" s="253"/>
      <c r="BX1550" s="253"/>
      <c r="BY1550" s="253"/>
      <c r="BZ1550" s="253"/>
      <c r="CA1550" s="253"/>
      <c r="CB1550" s="253"/>
      <c r="CC1550" s="253"/>
      <c r="CD1550" s="253"/>
      <c r="CE1550" s="253"/>
      <c r="CF1550" s="253"/>
      <c r="CG1550" s="253"/>
      <c r="CH1550" s="253"/>
      <c r="CI1550" s="253"/>
      <c r="CJ1550" s="253"/>
      <c r="CK1550" s="253"/>
      <c r="CL1550" s="253"/>
      <c r="CM1550" s="253"/>
      <c r="CN1550" s="253"/>
      <c r="CO1550" s="253"/>
      <c r="CP1550" s="253"/>
      <c r="CQ1550" s="253"/>
      <c r="CR1550" s="253"/>
      <c r="CS1550" s="253"/>
      <c r="CT1550" s="253"/>
      <c r="CU1550" s="253"/>
      <c r="CV1550" s="253"/>
      <c r="CW1550" s="253"/>
      <c r="CX1550" s="253"/>
      <c r="CY1550" s="253"/>
      <c r="CZ1550" s="253"/>
      <c r="DA1550" s="253"/>
      <c r="DB1550" s="253"/>
      <c r="DC1550" s="253"/>
      <c r="DD1550" s="253"/>
      <c r="DE1550" s="253"/>
      <c r="DF1550" s="253"/>
      <c r="DG1550" s="253"/>
      <c r="DH1550" s="253"/>
      <c r="DI1550" s="253"/>
      <c r="EH1550" s="226"/>
    </row>
    <row r="1551" spans="1:146" s="227" customFormat="1" ht="15.75" x14ac:dyDescent="0.2">
      <c r="A1551" s="108">
        <v>1</v>
      </c>
      <c r="B1551" s="170">
        <v>2</v>
      </c>
      <c r="C1551" s="170">
        <v>3</v>
      </c>
      <c r="D1551" s="170">
        <v>4</v>
      </c>
      <c r="E1551" s="170">
        <v>5</v>
      </c>
      <c r="F1551" s="170">
        <v>6</v>
      </c>
      <c r="G1551" s="252"/>
      <c r="H1551" s="253"/>
      <c r="I1551" s="253"/>
      <c r="J1551" s="253"/>
      <c r="K1551" s="253"/>
      <c r="L1551" s="253"/>
      <c r="M1551" s="253"/>
      <c r="N1551" s="253"/>
      <c r="O1551" s="253"/>
      <c r="P1551" s="253"/>
      <c r="Q1551" s="253"/>
      <c r="R1551" s="253"/>
      <c r="S1551" s="253"/>
      <c r="T1551" s="253"/>
      <c r="U1551" s="253"/>
      <c r="V1551" s="253"/>
      <c r="W1551" s="253"/>
      <c r="X1551" s="253"/>
      <c r="Y1551" s="253"/>
      <c r="Z1551" s="253"/>
      <c r="AA1551" s="253"/>
      <c r="AB1551" s="253"/>
      <c r="AC1551" s="253"/>
      <c r="AD1551" s="253"/>
      <c r="AE1551" s="253"/>
      <c r="AF1551" s="253"/>
      <c r="AG1551" s="253"/>
      <c r="AH1551" s="253"/>
      <c r="AI1551" s="253"/>
      <c r="AJ1551" s="253"/>
      <c r="AK1551" s="253"/>
      <c r="AL1551" s="253"/>
      <c r="AM1551" s="253"/>
      <c r="AN1551" s="253"/>
      <c r="AO1551" s="253"/>
      <c r="AP1551" s="253"/>
      <c r="AQ1551" s="253"/>
      <c r="AR1551" s="253"/>
      <c r="AS1551" s="253"/>
      <c r="AT1551" s="253"/>
      <c r="AU1551" s="253"/>
      <c r="AV1551" s="253"/>
      <c r="AW1551" s="253"/>
      <c r="AX1551" s="253"/>
      <c r="AY1551" s="253"/>
      <c r="AZ1551" s="253"/>
      <c r="BA1551" s="253"/>
      <c r="BB1551" s="253"/>
      <c r="BC1551" s="253"/>
      <c r="BD1551" s="253"/>
      <c r="BE1551" s="253"/>
      <c r="BF1551" s="253"/>
      <c r="BG1551" s="253"/>
      <c r="BH1551" s="253"/>
      <c r="BI1551" s="253"/>
      <c r="BJ1551" s="253"/>
      <c r="BK1551" s="253"/>
      <c r="BL1551" s="253"/>
      <c r="BM1551" s="253"/>
      <c r="BN1551" s="253"/>
      <c r="BO1551" s="253"/>
      <c r="BP1551" s="253"/>
      <c r="BQ1551" s="253"/>
      <c r="BR1551" s="253"/>
      <c r="BS1551" s="253"/>
      <c r="BT1551" s="253"/>
      <c r="BU1551" s="253"/>
      <c r="BV1551" s="253"/>
      <c r="BW1551" s="253"/>
      <c r="BX1551" s="253"/>
      <c r="BY1551" s="253"/>
      <c r="BZ1551" s="253"/>
      <c r="CA1551" s="253"/>
      <c r="CB1551" s="253"/>
      <c r="CC1551" s="253"/>
      <c r="CD1551" s="253"/>
      <c r="CE1551" s="253"/>
      <c r="CF1551" s="253"/>
      <c r="CG1551" s="253"/>
      <c r="CH1551" s="253"/>
      <c r="CI1551" s="253"/>
      <c r="CJ1551" s="253"/>
      <c r="CK1551" s="253"/>
      <c r="CL1551" s="253"/>
      <c r="CM1551" s="253"/>
      <c r="CN1551" s="253"/>
      <c r="CO1551" s="253"/>
      <c r="CP1551" s="253"/>
      <c r="CQ1551" s="253"/>
      <c r="CR1551" s="253"/>
      <c r="CS1551" s="253"/>
      <c r="CT1551" s="253"/>
      <c r="CU1551" s="253"/>
      <c r="CV1551" s="253"/>
      <c r="CW1551" s="253"/>
      <c r="CX1551" s="253"/>
      <c r="CY1551" s="253"/>
      <c r="CZ1551" s="253"/>
      <c r="DA1551" s="253"/>
      <c r="DB1551" s="253"/>
      <c r="DC1551" s="253"/>
      <c r="DD1551" s="253"/>
      <c r="DE1551" s="253"/>
      <c r="DF1551" s="253"/>
      <c r="DG1551" s="253"/>
      <c r="DH1551" s="253"/>
      <c r="DI1551" s="253"/>
      <c r="EH1551" s="226"/>
    </row>
    <row r="1552" spans="1:146" s="227" customFormat="1" ht="82.5" customHeight="1" x14ac:dyDescent="0.2">
      <c r="A1552" s="386">
        <v>1</v>
      </c>
      <c r="B1552" s="93" t="s">
        <v>2188</v>
      </c>
      <c r="C1552" s="386" t="s">
        <v>2189</v>
      </c>
      <c r="D1552" s="299">
        <f>(318/1.001)*1.055</f>
        <v>335.15</v>
      </c>
      <c r="E1552" s="292">
        <f t="shared" ref="E1552" si="148">D1552*20%</f>
        <v>67.03</v>
      </c>
      <c r="F1552" s="295">
        <f t="shared" ref="F1552" si="149">D1552+E1552</f>
        <v>402.18</v>
      </c>
      <c r="G1552" s="226"/>
      <c r="H1552" s="253"/>
      <c r="I1552" s="253"/>
      <c r="J1552" s="253"/>
      <c r="K1552" s="253"/>
      <c r="L1552" s="253"/>
      <c r="M1552" s="253"/>
      <c r="N1552" s="253"/>
      <c r="O1552" s="253"/>
      <c r="P1552" s="253"/>
      <c r="Q1552" s="253"/>
      <c r="R1552" s="253"/>
      <c r="S1552" s="253"/>
      <c r="T1552" s="253"/>
      <c r="U1552" s="253"/>
      <c r="V1552" s="253"/>
      <c r="W1552" s="253"/>
      <c r="X1552" s="253"/>
      <c r="Y1552" s="253"/>
      <c r="Z1552" s="253"/>
      <c r="AA1552" s="253"/>
      <c r="AB1552" s="253"/>
      <c r="AC1552" s="253"/>
      <c r="AD1552" s="253"/>
      <c r="AE1552" s="253"/>
      <c r="AF1552" s="253"/>
      <c r="AG1552" s="253"/>
      <c r="AH1552" s="253"/>
      <c r="AI1552" s="253"/>
      <c r="AJ1552" s="253"/>
      <c r="AK1552" s="253"/>
      <c r="AL1552" s="253"/>
      <c r="AM1552" s="253"/>
      <c r="AN1552" s="253"/>
      <c r="AO1552" s="253"/>
      <c r="AP1552" s="253"/>
      <c r="AQ1552" s="253"/>
      <c r="AR1552" s="253"/>
      <c r="AS1552" s="253"/>
      <c r="AT1552" s="253"/>
      <c r="AU1552" s="253"/>
      <c r="AV1552" s="253"/>
      <c r="AW1552" s="253"/>
      <c r="AX1552" s="253"/>
      <c r="AY1552" s="253"/>
      <c r="AZ1552" s="253"/>
      <c r="BA1552" s="253"/>
      <c r="BB1552" s="253"/>
      <c r="BC1552" s="253"/>
      <c r="BD1552" s="253"/>
      <c r="BE1552" s="253"/>
      <c r="BF1552" s="253"/>
      <c r="BG1552" s="253"/>
      <c r="BH1552" s="253"/>
      <c r="BI1552" s="253"/>
      <c r="BJ1552" s="253"/>
      <c r="BK1552" s="253"/>
      <c r="BL1552" s="253"/>
      <c r="BM1552" s="253"/>
      <c r="BN1552" s="253"/>
      <c r="BO1552" s="253"/>
      <c r="BP1552" s="253"/>
      <c r="BQ1552" s="253"/>
      <c r="BR1552" s="253"/>
      <c r="BS1552" s="253"/>
      <c r="BT1552" s="253"/>
      <c r="BU1552" s="253"/>
      <c r="BV1552" s="253"/>
      <c r="BW1552" s="253"/>
      <c r="BX1552" s="253"/>
      <c r="BY1552" s="253"/>
      <c r="BZ1552" s="253"/>
      <c r="CA1552" s="253"/>
      <c r="CB1552" s="253"/>
      <c r="CC1552" s="253"/>
      <c r="CD1552" s="253"/>
      <c r="CE1552" s="253"/>
      <c r="CF1552" s="253"/>
      <c r="CG1552" s="253"/>
      <c r="CH1552" s="253"/>
      <c r="CI1552" s="253"/>
      <c r="CJ1552" s="253"/>
      <c r="CK1552" s="253"/>
      <c r="CL1552" s="253"/>
      <c r="CM1552" s="253"/>
      <c r="CN1552" s="253"/>
      <c r="CO1552" s="253"/>
      <c r="CP1552" s="253"/>
      <c r="CQ1552" s="253"/>
      <c r="CR1552" s="253"/>
      <c r="CS1552" s="253"/>
      <c r="CT1552" s="253"/>
      <c r="CU1552" s="253"/>
      <c r="CV1552" s="253"/>
      <c r="CW1552" s="253"/>
      <c r="CX1552" s="253"/>
      <c r="CY1552" s="253"/>
      <c r="CZ1552" s="253"/>
      <c r="DA1552" s="253"/>
      <c r="DB1552" s="253"/>
      <c r="DC1552" s="253"/>
      <c r="DD1552" s="253"/>
      <c r="DE1552" s="253"/>
      <c r="DF1552" s="253"/>
      <c r="DG1552" s="253"/>
      <c r="DH1552" s="253"/>
      <c r="DI1552" s="253"/>
      <c r="EH1552" s="226"/>
    </row>
    <row r="1553" spans="1:138" s="227" customFormat="1" ht="42.75" customHeight="1" x14ac:dyDescent="0.2">
      <c r="A1553" s="386">
        <v>2</v>
      </c>
      <c r="B1553" s="425" t="s">
        <v>2190</v>
      </c>
      <c r="C1553" s="425"/>
      <c r="D1553" s="425"/>
      <c r="E1553" s="425"/>
      <c r="F1553" s="425"/>
      <c r="G1553" s="226"/>
      <c r="H1553" s="253"/>
      <c r="I1553" s="253"/>
      <c r="J1553" s="253"/>
      <c r="K1553" s="253"/>
      <c r="L1553" s="253"/>
      <c r="M1553" s="253"/>
      <c r="N1553" s="253"/>
      <c r="O1553" s="253"/>
      <c r="P1553" s="253"/>
      <c r="Q1553" s="253"/>
      <c r="R1553" s="253"/>
      <c r="S1553" s="253"/>
      <c r="T1553" s="253"/>
      <c r="U1553" s="253"/>
      <c r="V1553" s="253"/>
      <c r="W1553" s="253"/>
      <c r="X1553" s="253"/>
      <c r="Y1553" s="253"/>
      <c r="Z1553" s="253"/>
      <c r="AA1553" s="253"/>
      <c r="AB1553" s="253"/>
      <c r="AC1553" s="253"/>
      <c r="AD1553" s="253"/>
      <c r="AE1553" s="253"/>
      <c r="AF1553" s="253"/>
      <c r="AG1553" s="253"/>
      <c r="AH1553" s="253"/>
      <c r="AI1553" s="253"/>
      <c r="AJ1553" s="253"/>
      <c r="AK1553" s="253"/>
      <c r="AL1553" s="253"/>
      <c r="AM1553" s="253"/>
      <c r="AN1553" s="253"/>
      <c r="AO1553" s="253"/>
      <c r="AP1553" s="253"/>
      <c r="AQ1553" s="253"/>
      <c r="AR1553" s="253"/>
      <c r="AS1553" s="253"/>
      <c r="AT1553" s="253"/>
      <c r="AU1553" s="253"/>
      <c r="AV1553" s="253"/>
      <c r="AW1553" s="253"/>
      <c r="AX1553" s="253"/>
      <c r="AY1553" s="253"/>
      <c r="AZ1553" s="253"/>
      <c r="BA1553" s="253"/>
      <c r="BB1553" s="253"/>
      <c r="BC1553" s="253"/>
      <c r="BD1553" s="253"/>
      <c r="BE1553" s="253"/>
      <c r="BF1553" s="253"/>
      <c r="BG1553" s="253"/>
      <c r="BH1553" s="253"/>
      <c r="BI1553" s="253"/>
      <c r="BJ1553" s="253"/>
      <c r="BK1553" s="253"/>
      <c r="BL1553" s="253"/>
      <c r="BM1553" s="253"/>
      <c r="BN1553" s="253"/>
      <c r="BO1553" s="253"/>
      <c r="BP1553" s="253"/>
      <c r="BQ1553" s="253"/>
      <c r="BR1553" s="253"/>
      <c r="BS1553" s="253"/>
      <c r="BT1553" s="253"/>
      <c r="BU1553" s="253"/>
      <c r="BV1553" s="253"/>
      <c r="BW1553" s="253"/>
      <c r="BX1553" s="253"/>
      <c r="BY1553" s="253"/>
      <c r="BZ1553" s="253"/>
      <c r="CA1553" s="253"/>
      <c r="CB1553" s="253"/>
      <c r="CC1553" s="253"/>
      <c r="CD1553" s="253"/>
      <c r="CE1553" s="253"/>
      <c r="CF1553" s="253"/>
      <c r="CG1553" s="253"/>
      <c r="CH1553" s="253"/>
      <c r="CI1553" s="253"/>
      <c r="CJ1553" s="253"/>
      <c r="CK1553" s="253"/>
      <c r="CL1553" s="253"/>
      <c r="CM1553" s="253"/>
      <c r="CN1553" s="253"/>
      <c r="CO1553" s="253"/>
      <c r="CP1553" s="253"/>
      <c r="CQ1553" s="253"/>
      <c r="CR1553" s="253"/>
      <c r="CS1553" s="253"/>
      <c r="CT1553" s="253"/>
      <c r="CU1553" s="253"/>
      <c r="CV1553" s="253"/>
      <c r="CW1553" s="253"/>
      <c r="CX1553" s="253"/>
      <c r="CY1553" s="253"/>
      <c r="CZ1553" s="253"/>
      <c r="DA1553" s="253"/>
      <c r="DB1553" s="253"/>
      <c r="DC1553" s="253"/>
      <c r="DD1553" s="253"/>
      <c r="DE1553" s="253"/>
      <c r="DF1553" s="253"/>
      <c r="DG1553" s="253"/>
      <c r="DH1553" s="253"/>
      <c r="DI1553" s="253"/>
      <c r="EH1553" s="226"/>
    </row>
    <row r="1554" spans="1:138" s="227" customFormat="1" ht="84" customHeight="1" x14ac:dyDescent="0.2">
      <c r="A1554" s="384" t="s">
        <v>2191</v>
      </c>
      <c r="B1554" s="392" t="s">
        <v>2192</v>
      </c>
      <c r="C1554" s="384" t="s">
        <v>2193</v>
      </c>
      <c r="D1554" s="85">
        <f>100*1.055</f>
        <v>105.5</v>
      </c>
      <c r="E1554" s="14">
        <f t="shared" ref="E1554:E1566" si="150">D1554*20%</f>
        <v>21.1</v>
      </c>
      <c r="F1554" s="14">
        <f t="shared" ref="F1554:F1566" si="151">D1554+E1554</f>
        <v>126.6</v>
      </c>
      <c r="G1554" s="226"/>
      <c r="H1554" s="253"/>
      <c r="I1554" s="253"/>
      <c r="J1554" s="253"/>
      <c r="K1554" s="253"/>
      <c r="L1554" s="253"/>
      <c r="M1554" s="253"/>
      <c r="N1554" s="253"/>
      <c r="O1554" s="253"/>
      <c r="P1554" s="253"/>
      <c r="Q1554" s="253"/>
      <c r="R1554" s="253"/>
      <c r="S1554" s="253"/>
      <c r="T1554" s="253"/>
      <c r="U1554" s="253"/>
      <c r="V1554" s="253"/>
      <c r="W1554" s="253"/>
      <c r="X1554" s="253"/>
      <c r="Y1554" s="253"/>
      <c r="Z1554" s="253"/>
      <c r="AA1554" s="253"/>
      <c r="AB1554" s="253"/>
      <c r="AC1554" s="253"/>
      <c r="AD1554" s="253"/>
      <c r="AE1554" s="253"/>
      <c r="AF1554" s="253"/>
      <c r="AG1554" s="253"/>
      <c r="AH1554" s="253"/>
      <c r="AI1554" s="253"/>
      <c r="AJ1554" s="253"/>
      <c r="AK1554" s="253"/>
      <c r="AL1554" s="253"/>
      <c r="AM1554" s="253"/>
      <c r="AN1554" s="253"/>
      <c r="AO1554" s="253"/>
      <c r="AP1554" s="253"/>
      <c r="AQ1554" s="253"/>
      <c r="AR1554" s="253"/>
      <c r="AS1554" s="253"/>
      <c r="AT1554" s="253"/>
      <c r="AU1554" s="253"/>
      <c r="AV1554" s="253"/>
      <c r="AW1554" s="253"/>
      <c r="AX1554" s="253"/>
      <c r="AY1554" s="253"/>
      <c r="AZ1554" s="253"/>
      <c r="BA1554" s="253"/>
      <c r="BB1554" s="253"/>
      <c r="BC1554" s="253"/>
      <c r="BD1554" s="253"/>
      <c r="BE1554" s="253"/>
      <c r="BF1554" s="253"/>
      <c r="BG1554" s="253"/>
      <c r="BH1554" s="253"/>
      <c r="BI1554" s="253"/>
      <c r="BJ1554" s="253"/>
      <c r="BK1554" s="253"/>
      <c r="BL1554" s="253"/>
      <c r="BM1554" s="253"/>
      <c r="BN1554" s="253"/>
      <c r="BO1554" s="253"/>
      <c r="BP1554" s="253"/>
      <c r="BQ1554" s="253"/>
      <c r="BR1554" s="253"/>
      <c r="BS1554" s="253"/>
      <c r="BT1554" s="253"/>
      <c r="BU1554" s="253"/>
      <c r="BV1554" s="253"/>
      <c r="BW1554" s="253"/>
      <c r="BX1554" s="253"/>
      <c r="BY1554" s="253"/>
      <c r="BZ1554" s="253"/>
      <c r="CA1554" s="253"/>
      <c r="CB1554" s="253"/>
      <c r="CC1554" s="253"/>
      <c r="CD1554" s="253"/>
      <c r="CE1554" s="253"/>
      <c r="CF1554" s="253"/>
      <c r="CG1554" s="253"/>
      <c r="CH1554" s="253"/>
      <c r="CI1554" s="253"/>
      <c r="CJ1554" s="253"/>
      <c r="CK1554" s="253"/>
      <c r="CL1554" s="253"/>
      <c r="CM1554" s="253"/>
      <c r="CN1554" s="253"/>
      <c r="CO1554" s="253"/>
      <c r="CP1554" s="253"/>
      <c r="CQ1554" s="253"/>
      <c r="CR1554" s="253"/>
      <c r="CS1554" s="253"/>
      <c r="CT1554" s="253"/>
      <c r="CU1554" s="253"/>
      <c r="CV1554" s="253"/>
      <c r="CW1554" s="253"/>
      <c r="CX1554" s="253"/>
      <c r="CY1554" s="253"/>
      <c r="CZ1554" s="253"/>
      <c r="DA1554" s="253"/>
      <c r="DB1554" s="253"/>
      <c r="DC1554" s="253"/>
      <c r="DD1554" s="253"/>
      <c r="DE1554" s="253"/>
      <c r="DF1554" s="253"/>
      <c r="DG1554" s="253"/>
      <c r="DH1554" s="253"/>
      <c r="DI1554" s="253"/>
      <c r="EH1554" s="226"/>
    </row>
    <row r="1555" spans="1:138" s="227" customFormat="1" ht="38.25" customHeight="1" x14ac:dyDescent="0.2">
      <c r="A1555" s="384" t="s">
        <v>2194</v>
      </c>
      <c r="B1555" s="392" t="s">
        <v>2195</v>
      </c>
      <c r="C1555" s="384" t="s">
        <v>2196</v>
      </c>
      <c r="D1555" s="85">
        <f>((115/1.001)+0.01)*1.055</f>
        <v>121.21</v>
      </c>
      <c r="E1555" s="14">
        <f t="shared" si="150"/>
        <v>24.24</v>
      </c>
      <c r="F1555" s="14">
        <f t="shared" si="151"/>
        <v>145.44999999999999</v>
      </c>
      <c r="G1555" s="226"/>
      <c r="H1555" s="253"/>
      <c r="I1555" s="253"/>
      <c r="J1555" s="253"/>
      <c r="K1555" s="253"/>
      <c r="L1555" s="253"/>
      <c r="M1555" s="253"/>
      <c r="N1555" s="253"/>
      <c r="O1555" s="253"/>
      <c r="P1555" s="253"/>
      <c r="Q1555" s="253"/>
      <c r="R1555" s="253"/>
      <c r="S1555" s="253"/>
      <c r="T1555" s="253"/>
      <c r="U1555" s="253"/>
      <c r="V1555" s="253"/>
      <c r="W1555" s="253"/>
      <c r="X1555" s="253"/>
      <c r="Y1555" s="253"/>
      <c r="Z1555" s="253"/>
      <c r="AA1555" s="253"/>
      <c r="AB1555" s="253"/>
      <c r="AC1555" s="253"/>
      <c r="AD1555" s="253"/>
      <c r="AE1555" s="253"/>
      <c r="AF1555" s="253"/>
      <c r="AG1555" s="253"/>
      <c r="AH1555" s="253"/>
      <c r="AI1555" s="253"/>
      <c r="AJ1555" s="253"/>
      <c r="AK1555" s="253"/>
      <c r="AL1555" s="253"/>
      <c r="AM1555" s="253"/>
      <c r="AN1555" s="253"/>
      <c r="AO1555" s="253"/>
      <c r="AP1555" s="253"/>
      <c r="AQ1555" s="253"/>
      <c r="AR1555" s="253"/>
      <c r="AS1555" s="253"/>
      <c r="AT1555" s="253"/>
      <c r="AU1555" s="253"/>
      <c r="AV1555" s="253"/>
      <c r="AW1555" s="253"/>
      <c r="AX1555" s="253"/>
      <c r="AY1555" s="253"/>
      <c r="AZ1555" s="253"/>
      <c r="BA1555" s="253"/>
      <c r="BB1555" s="253"/>
      <c r="BC1555" s="253"/>
      <c r="BD1555" s="253"/>
      <c r="BE1555" s="253"/>
      <c r="BF1555" s="253"/>
      <c r="BG1555" s="253"/>
      <c r="BH1555" s="253"/>
      <c r="BI1555" s="253"/>
      <c r="BJ1555" s="253"/>
      <c r="BK1555" s="253"/>
      <c r="BL1555" s="253"/>
      <c r="BM1555" s="253"/>
      <c r="BN1555" s="253"/>
      <c r="BO1555" s="253"/>
      <c r="BP1555" s="253"/>
      <c r="BQ1555" s="253"/>
      <c r="BR1555" s="253"/>
      <c r="BS1555" s="253"/>
      <c r="BT1555" s="253"/>
      <c r="BU1555" s="253"/>
      <c r="BV1555" s="253"/>
      <c r="BW1555" s="253"/>
      <c r="BX1555" s="253"/>
      <c r="BY1555" s="253"/>
      <c r="BZ1555" s="253"/>
      <c r="CA1555" s="253"/>
      <c r="CB1555" s="253"/>
      <c r="CC1555" s="253"/>
      <c r="CD1555" s="253"/>
      <c r="CE1555" s="253"/>
      <c r="CF1555" s="253"/>
      <c r="CG1555" s="253"/>
      <c r="CH1555" s="253"/>
      <c r="CI1555" s="253"/>
      <c r="CJ1555" s="253"/>
      <c r="CK1555" s="253"/>
      <c r="CL1555" s="253"/>
      <c r="CM1555" s="253"/>
      <c r="CN1555" s="253"/>
      <c r="CO1555" s="253"/>
      <c r="CP1555" s="253"/>
      <c r="CQ1555" s="253"/>
      <c r="CR1555" s="253"/>
      <c r="CS1555" s="253"/>
      <c r="CT1555" s="253"/>
      <c r="CU1555" s="253"/>
      <c r="CV1555" s="253"/>
      <c r="CW1555" s="253"/>
      <c r="CX1555" s="253"/>
      <c r="CY1555" s="253"/>
      <c r="CZ1555" s="253"/>
      <c r="DA1555" s="253"/>
      <c r="DB1555" s="253"/>
      <c r="DC1555" s="253"/>
      <c r="DD1555" s="253"/>
      <c r="DE1555" s="253"/>
      <c r="DF1555" s="253"/>
      <c r="DG1555" s="253"/>
      <c r="DH1555" s="253"/>
      <c r="DI1555" s="253"/>
      <c r="EH1555" s="226"/>
    </row>
    <row r="1556" spans="1:138" s="227" customFormat="1" ht="36" customHeight="1" x14ac:dyDescent="0.2">
      <c r="A1556" s="384" t="s">
        <v>2197</v>
      </c>
      <c r="B1556" s="392" t="s">
        <v>2198</v>
      </c>
      <c r="C1556" s="384" t="s">
        <v>2199</v>
      </c>
      <c r="D1556" s="85">
        <f>49*1.055</f>
        <v>51.7</v>
      </c>
      <c r="E1556" s="14">
        <f t="shared" si="150"/>
        <v>10.34</v>
      </c>
      <c r="F1556" s="14">
        <f t="shared" si="151"/>
        <v>62.04</v>
      </c>
      <c r="G1556" s="226"/>
      <c r="H1556" s="253"/>
      <c r="I1556" s="253"/>
      <c r="J1556" s="253"/>
      <c r="K1556" s="253"/>
      <c r="L1556" s="253"/>
      <c r="M1556" s="253"/>
      <c r="N1556" s="253"/>
      <c r="O1556" s="253"/>
      <c r="P1556" s="253"/>
      <c r="Q1556" s="253"/>
      <c r="R1556" s="253"/>
      <c r="S1556" s="253"/>
      <c r="T1556" s="253"/>
      <c r="U1556" s="253"/>
      <c r="V1556" s="253"/>
      <c r="W1556" s="253"/>
      <c r="X1556" s="253"/>
      <c r="Y1556" s="253"/>
      <c r="Z1556" s="253"/>
      <c r="AA1556" s="253"/>
      <c r="AB1556" s="253"/>
      <c r="AC1556" s="253"/>
      <c r="AD1556" s="253"/>
      <c r="AE1556" s="253"/>
      <c r="AF1556" s="253"/>
      <c r="AG1556" s="253"/>
      <c r="AH1556" s="253"/>
      <c r="AI1556" s="253"/>
      <c r="AJ1556" s="253"/>
      <c r="AK1556" s="253"/>
      <c r="AL1556" s="253"/>
      <c r="AM1556" s="253"/>
      <c r="AN1556" s="253"/>
      <c r="AO1556" s="253"/>
      <c r="AP1556" s="253"/>
      <c r="AQ1556" s="253"/>
      <c r="AR1556" s="253"/>
      <c r="AS1556" s="253"/>
      <c r="AT1556" s="253"/>
      <c r="AU1556" s="253"/>
      <c r="AV1556" s="253"/>
      <c r="AW1556" s="253"/>
      <c r="AX1556" s="253"/>
      <c r="AY1556" s="253"/>
      <c r="AZ1556" s="253"/>
      <c r="BA1556" s="253"/>
      <c r="BB1556" s="253"/>
      <c r="BC1556" s="253"/>
      <c r="BD1556" s="253"/>
      <c r="BE1556" s="253"/>
      <c r="BF1556" s="253"/>
      <c r="BG1556" s="253"/>
      <c r="BH1556" s="253"/>
      <c r="BI1556" s="253"/>
      <c r="BJ1556" s="253"/>
      <c r="BK1556" s="253"/>
      <c r="BL1556" s="253"/>
      <c r="BM1556" s="253"/>
      <c r="BN1556" s="253"/>
      <c r="BO1556" s="253"/>
      <c r="BP1556" s="253"/>
      <c r="BQ1556" s="253"/>
      <c r="BR1556" s="253"/>
      <c r="BS1556" s="253"/>
      <c r="BT1556" s="253"/>
      <c r="BU1556" s="253"/>
      <c r="BV1556" s="253"/>
      <c r="BW1556" s="253"/>
      <c r="BX1556" s="253"/>
      <c r="BY1556" s="253"/>
      <c r="BZ1556" s="253"/>
      <c r="CA1556" s="253"/>
      <c r="CB1556" s="253"/>
      <c r="CC1556" s="253"/>
      <c r="CD1556" s="253"/>
      <c r="CE1556" s="253"/>
      <c r="CF1556" s="253"/>
      <c r="CG1556" s="253"/>
      <c r="CH1556" s="253"/>
      <c r="CI1556" s="253"/>
      <c r="CJ1556" s="253"/>
      <c r="CK1556" s="253"/>
      <c r="CL1556" s="253"/>
      <c r="CM1556" s="253"/>
      <c r="CN1556" s="253"/>
      <c r="CO1556" s="253"/>
      <c r="CP1556" s="253"/>
      <c r="CQ1556" s="253"/>
      <c r="CR1556" s="253"/>
      <c r="CS1556" s="253"/>
      <c r="CT1556" s="253"/>
      <c r="CU1556" s="253"/>
      <c r="CV1556" s="253"/>
      <c r="CW1556" s="253"/>
      <c r="CX1556" s="253"/>
      <c r="CY1556" s="253"/>
      <c r="CZ1556" s="253"/>
      <c r="DA1556" s="253"/>
      <c r="DB1556" s="253"/>
      <c r="DC1556" s="253"/>
      <c r="DD1556" s="253"/>
      <c r="DE1556" s="253"/>
      <c r="DF1556" s="253"/>
      <c r="DG1556" s="253"/>
      <c r="DH1556" s="253"/>
      <c r="DI1556" s="253"/>
      <c r="EH1556" s="226"/>
    </row>
    <row r="1557" spans="1:138" s="227" customFormat="1" ht="24" customHeight="1" x14ac:dyDescent="0.2">
      <c r="A1557" s="384" t="s">
        <v>2200</v>
      </c>
      <c r="B1557" s="392" t="s">
        <v>2201</v>
      </c>
      <c r="C1557" s="384" t="s">
        <v>2199</v>
      </c>
      <c r="D1557" s="85">
        <f>27*1.055</f>
        <v>28.49</v>
      </c>
      <c r="E1557" s="14">
        <f t="shared" si="150"/>
        <v>5.7</v>
      </c>
      <c r="F1557" s="14">
        <f t="shared" si="151"/>
        <v>34.19</v>
      </c>
      <c r="G1557" s="226"/>
      <c r="H1557" s="253"/>
      <c r="I1557" s="253"/>
      <c r="J1557" s="253"/>
      <c r="K1557" s="253"/>
      <c r="L1557" s="253"/>
      <c r="M1557" s="253"/>
      <c r="N1557" s="253"/>
      <c r="O1557" s="253"/>
      <c r="P1557" s="253"/>
      <c r="Q1557" s="253"/>
      <c r="R1557" s="253"/>
      <c r="S1557" s="253"/>
      <c r="T1557" s="253"/>
      <c r="U1557" s="253"/>
      <c r="V1557" s="253"/>
      <c r="W1557" s="253"/>
      <c r="X1557" s="253"/>
      <c r="Y1557" s="253"/>
      <c r="Z1557" s="253"/>
      <c r="AA1557" s="253"/>
      <c r="AB1557" s="253"/>
      <c r="AC1557" s="253"/>
      <c r="AD1557" s="253"/>
      <c r="AE1557" s="253"/>
      <c r="AF1557" s="253"/>
      <c r="AG1557" s="253"/>
      <c r="AH1557" s="253"/>
      <c r="AI1557" s="253"/>
      <c r="AJ1557" s="253"/>
      <c r="AK1557" s="253"/>
      <c r="AL1557" s="253"/>
      <c r="AM1557" s="253"/>
      <c r="AN1557" s="253"/>
      <c r="AO1557" s="253"/>
      <c r="AP1557" s="253"/>
      <c r="AQ1557" s="253"/>
      <c r="AR1557" s="253"/>
      <c r="AS1557" s="253"/>
      <c r="AT1557" s="253"/>
      <c r="AU1557" s="253"/>
      <c r="AV1557" s="253"/>
      <c r="AW1557" s="253"/>
      <c r="AX1557" s="253"/>
      <c r="AY1557" s="253"/>
      <c r="AZ1557" s="253"/>
      <c r="BA1557" s="253"/>
      <c r="BB1557" s="253"/>
      <c r="BC1557" s="253"/>
      <c r="BD1557" s="253"/>
      <c r="BE1557" s="253"/>
      <c r="BF1557" s="253"/>
      <c r="BG1557" s="253"/>
      <c r="BH1557" s="253"/>
      <c r="BI1557" s="253"/>
      <c r="BJ1557" s="253"/>
      <c r="BK1557" s="253"/>
      <c r="BL1557" s="253"/>
      <c r="BM1557" s="253"/>
      <c r="BN1557" s="253"/>
      <c r="BO1557" s="253"/>
      <c r="BP1557" s="253"/>
      <c r="BQ1557" s="253"/>
      <c r="BR1557" s="253"/>
      <c r="BS1557" s="253"/>
      <c r="BT1557" s="253"/>
      <c r="BU1557" s="253"/>
      <c r="BV1557" s="253"/>
      <c r="BW1557" s="253"/>
      <c r="BX1557" s="253"/>
      <c r="BY1557" s="253"/>
      <c r="BZ1557" s="253"/>
      <c r="CA1557" s="253"/>
      <c r="CB1557" s="253"/>
      <c r="CC1557" s="253"/>
      <c r="CD1557" s="253"/>
      <c r="CE1557" s="253"/>
      <c r="CF1557" s="253"/>
      <c r="CG1557" s="253"/>
      <c r="CH1557" s="253"/>
      <c r="CI1557" s="253"/>
      <c r="CJ1557" s="253"/>
      <c r="CK1557" s="253"/>
      <c r="CL1557" s="253"/>
      <c r="CM1557" s="253"/>
      <c r="CN1557" s="253"/>
      <c r="CO1557" s="253"/>
      <c r="CP1557" s="253"/>
      <c r="CQ1557" s="253"/>
      <c r="CR1557" s="253"/>
      <c r="CS1557" s="253"/>
      <c r="CT1557" s="253"/>
      <c r="CU1557" s="253"/>
      <c r="CV1557" s="253"/>
      <c r="CW1557" s="253"/>
      <c r="CX1557" s="253"/>
      <c r="CY1557" s="253"/>
      <c r="CZ1557" s="253"/>
      <c r="DA1557" s="253"/>
      <c r="DB1557" s="253"/>
      <c r="DC1557" s="253"/>
      <c r="DD1557" s="253"/>
      <c r="DE1557" s="253"/>
      <c r="DF1557" s="253"/>
      <c r="DG1557" s="253"/>
      <c r="DH1557" s="253"/>
      <c r="DI1557" s="253"/>
      <c r="EH1557" s="226"/>
    </row>
    <row r="1558" spans="1:138" ht="31.5" x14ac:dyDescent="0.2">
      <c r="A1558" s="384" t="s">
        <v>2202</v>
      </c>
      <c r="B1558" s="392" t="s">
        <v>2203</v>
      </c>
      <c r="C1558" s="384" t="s">
        <v>2199</v>
      </c>
      <c r="D1558" s="85">
        <f>75*1.055</f>
        <v>79.13</v>
      </c>
      <c r="E1558" s="14">
        <f t="shared" si="150"/>
        <v>15.83</v>
      </c>
      <c r="F1558" s="14">
        <f t="shared" si="151"/>
        <v>94.96</v>
      </c>
      <c r="EH1558" s="3"/>
    </row>
    <row r="1559" spans="1:138" ht="18.75" customHeight="1" x14ac:dyDescent="0.2">
      <c r="A1559" s="384" t="s">
        <v>2204</v>
      </c>
      <c r="B1559" s="392" t="s">
        <v>2205</v>
      </c>
      <c r="C1559" s="384" t="s">
        <v>2199</v>
      </c>
      <c r="D1559" s="85">
        <f>((209/1.001)+0.01)*1.055</f>
        <v>220.29</v>
      </c>
      <c r="E1559" s="14">
        <f t="shared" si="150"/>
        <v>44.06</v>
      </c>
      <c r="F1559" s="14">
        <f t="shared" si="151"/>
        <v>264.35000000000002</v>
      </c>
      <c r="EH1559" s="3"/>
    </row>
    <row r="1560" spans="1:138" ht="36.75" customHeight="1" x14ac:dyDescent="0.2">
      <c r="A1560" s="384" t="s">
        <v>2206</v>
      </c>
      <c r="B1560" s="392" t="s">
        <v>2207</v>
      </c>
      <c r="C1560" s="384" t="s">
        <v>2199</v>
      </c>
      <c r="D1560" s="85">
        <f>27*1.055</f>
        <v>28.49</v>
      </c>
      <c r="E1560" s="14">
        <f t="shared" si="150"/>
        <v>5.7</v>
      </c>
      <c r="F1560" s="14">
        <f t="shared" si="151"/>
        <v>34.19</v>
      </c>
      <c r="EH1560" s="3"/>
    </row>
    <row r="1561" spans="1:138" ht="81" customHeight="1" x14ac:dyDescent="0.2">
      <c r="A1561" s="384" t="s">
        <v>2208</v>
      </c>
      <c r="B1561" s="419" t="s">
        <v>2209</v>
      </c>
      <c r="C1561" s="384" t="s">
        <v>2210</v>
      </c>
      <c r="D1561" s="85">
        <f>(377/1.001)*1.055</f>
        <v>397.34</v>
      </c>
      <c r="E1561" s="14">
        <f t="shared" si="150"/>
        <v>79.47</v>
      </c>
      <c r="F1561" s="14">
        <f t="shared" si="151"/>
        <v>476.81</v>
      </c>
    </row>
    <row r="1562" spans="1:138" ht="81" customHeight="1" x14ac:dyDescent="0.2">
      <c r="A1562" s="384" t="s">
        <v>2211</v>
      </c>
      <c r="B1562" s="419"/>
      <c r="C1562" s="384" t="s">
        <v>2212</v>
      </c>
      <c r="D1562" s="85">
        <f>(419/1.001)*1.055</f>
        <v>441.6</v>
      </c>
      <c r="E1562" s="14">
        <f t="shared" si="150"/>
        <v>88.32</v>
      </c>
      <c r="F1562" s="14">
        <f t="shared" si="151"/>
        <v>529.91999999999996</v>
      </c>
    </row>
    <row r="1563" spans="1:138" ht="39" customHeight="1" x14ac:dyDescent="0.2">
      <c r="A1563" s="384" t="s">
        <v>2213</v>
      </c>
      <c r="B1563" s="392" t="s">
        <v>2214</v>
      </c>
      <c r="C1563" s="384" t="s">
        <v>2199</v>
      </c>
      <c r="D1563" s="85">
        <f>27*1.055</f>
        <v>28.49</v>
      </c>
      <c r="E1563" s="14">
        <f t="shared" si="150"/>
        <v>5.7</v>
      </c>
      <c r="F1563" s="14">
        <f t="shared" si="151"/>
        <v>34.19</v>
      </c>
    </row>
    <row r="1564" spans="1:138" ht="54.75" customHeight="1" x14ac:dyDescent="0.2">
      <c r="A1564" s="384" t="s">
        <v>2215</v>
      </c>
      <c r="B1564" s="392" t="s">
        <v>2216</v>
      </c>
      <c r="C1564" s="384" t="s">
        <v>2199</v>
      </c>
      <c r="D1564" s="85">
        <f>((408/1.001)+0.01)*1.055</f>
        <v>430.02</v>
      </c>
      <c r="E1564" s="14">
        <f t="shared" si="150"/>
        <v>86</v>
      </c>
      <c r="F1564" s="14">
        <f t="shared" si="151"/>
        <v>516.02</v>
      </c>
    </row>
    <row r="1565" spans="1:138" ht="84" customHeight="1" x14ac:dyDescent="0.2">
      <c r="A1565" s="384" t="s">
        <v>2217</v>
      </c>
      <c r="B1565" s="392" t="s">
        <v>2220</v>
      </c>
      <c r="C1565" s="384" t="s">
        <v>2218</v>
      </c>
      <c r="D1565" s="85">
        <f>((3511/1.001)+0.01)*1.055</f>
        <v>3700.42</v>
      </c>
      <c r="E1565" s="14">
        <f t="shared" si="150"/>
        <v>740.08</v>
      </c>
      <c r="F1565" s="14">
        <f t="shared" si="151"/>
        <v>4440.5</v>
      </c>
    </row>
    <row r="1566" spans="1:138" ht="75.75" customHeight="1" x14ac:dyDescent="0.2">
      <c r="A1566" s="386">
        <v>3</v>
      </c>
      <c r="B1566" s="93" t="s">
        <v>2221</v>
      </c>
      <c r="C1566" s="386" t="s">
        <v>2219</v>
      </c>
      <c r="D1566" s="299">
        <f>73.45*1.055</f>
        <v>77.489999999999995</v>
      </c>
      <c r="E1566" s="292">
        <f t="shared" si="150"/>
        <v>15.5</v>
      </c>
      <c r="F1566" s="292">
        <f t="shared" si="151"/>
        <v>92.99</v>
      </c>
    </row>
  </sheetData>
  <mergeCells count="344">
    <mergeCell ref="A77:G77"/>
    <mergeCell ref="A78:G78"/>
    <mergeCell ref="A79:G79"/>
    <mergeCell ref="A80:G80"/>
    <mergeCell ref="A81:G81"/>
    <mergeCell ref="A82:G82"/>
    <mergeCell ref="A90:G90"/>
    <mergeCell ref="A91:G91"/>
    <mergeCell ref="A92:G92"/>
    <mergeCell ref="A93:G93"/>
    <mergeCell ref="A94:G94"/>
    <mergeCell ref="I97:J97"/>
    <mergeCell ref="A83:G83"/>
    <mergeCell ref="A84:G84"/>
    <mergeCell ref="A85:G85"/>
    <mergeCell ref="E86:G86"/>
    <mergeCell ref="E87:G87"/>
    <mergeCell ref="A89:G89"/>
    <mergeCell ref="A116:A121"/>
    <mergeCell ref="B116:B121"/>
    <mergeCell ref="A122:A127"/>
    <mergeCell ref="B122:B127"/>
    <mergeCell ref="A128:A133"/>
    <mergeCell ref="B128:B133"/>
    <mergeCell ref="A98:A103"/>
    <mergeCell ref="B98:B103"/>
    <mergeCell ref="A104:A109"/>
    <mergeCell ref="B104:B109"/>
    <mergeCell ref="A110:A115"/>
    <mergeCell ref="B110:B115"/>
    <mergeCell ref="A150:A154"/>
    <mergeCell ref="B150:B154"/>
    <mergeCell ref="A155:A159"/>
    <mergeCell ref="B155:B159"/>
    <mergeCell ref="A160:A164"/>
    <mergeCell ref="B160:B164"/>
    <mergeCell ref="A134:A138"/>
    <mergeCell ref="B134:B138"/>
    <mergeCell ref="A139:A144"/>
    <mergeCell ref="B139:B144"/>
    <mergeCell ref="A145:A149"/>
    <mergeCell ref="B145:B149"/>
    <mergeCell ref="A179:A183"/>
    <mergeCell ref="B179:B183"/>
    <mergeCell ref="A184:A188"/>
    <mergeCell ref="B184:B188"/>
    <mergeCell ref="A189:A193"/>
    <mergeCell ref="B189:B193"/>
    <mergeCell ref="A165:A168"/>
    <mergeCell ref="B165:B168"/>
    <mergeCell ref="A169:A173"/>
    <mergeCell ref="B169:B173"/>
    <mergeCell ref="A174:A178"/>
    <mergeCell ref="B174:B178"/>
    <mergeCell ref="B222:G222"/>
    <mergeCell ref="B223:C223"/>
    <mergeCell ref="B224:C224"/>
    <mergeCell ref="B225:C225"/>
    <mergeCell ref="B226:C226"/>
    <mergeCell ref="B227:C227"/>
    <mergeCell ref="A194:A199"/>
    <mergeCell ref="B194:B199"/>
    <mergeCell ref="A200:A204"/>
    <mergeCell ref="B200:B204"/>
    <mergeCell ref="A205:A209"/>
    <mergeCell ref="B205:B209"/>
    <mergeCell ref="B234:C234"/>
    <mergeCell ref="B235:G235"/>
    <mergeCell ref="B236:C236"/>
    <mergeCell ref="B237:C237"/>
    <mergeCell ref="B238:C238"/>
    <mergeCell ref="B239:C239"/>
    <mergeCell ref="B228:C228"/>
    <mergeCell ref="B229:C229"/>
    <mergeCell ref="B230:C230"/>
    <mergeCell ref="B231:C231"/>
    <mergeCell ref="B232:C232"/>
    <mergeCell ref="B233:C233"/>
    <mergeCell ref="C247:D247"/>
    <mergeCell ref="C248:D248"/>
    <mergeCell ref="C249:D249"/>
    <mergeCell ref="C250:D250"/>
    <mergeCell ref="C251:D251"/>
    <mergeCell ref="C252:D252"/>
    <mergeCell ref="B240:C240"/>
    <mergeCell ref="A241:H241"/>
    <mergeCell ref="CE241:CL241"/>
    <mergeCell ref="A243:G243"/>
    <mergeCell ref="C245:D245"/>
    <mergeCell ref="C246:D246"/>
    <mergeCell ref="C261:D261"/>
    <mergeCell ref="C262:D262"/>
    <mergeCell ref="C263:D263"/>
    <mergeCell ref="C264:D264"/>
    <mergeCell ref="C265:D265"/>
    <mergeCell ref="C266:D266"/>
    <mergeCell ref="C253:D253"/>
    <mergeCell ref="C254:D254"/>
    <mergeCell ref="A256:G256"/>
    <mergeCell ref="A257:G257"/>
    <mergeCell ref="C259:D259"/>
    <mergeCell ref="C260:D260"/>
    <mergeCell ref="A284:A287"/>
    <mergeCell ref="B284:B287"/>
    <mergeCell ref="A288:A291"/>
    <mergeCell ref="B288:B291"/>
    <mergeCell ref="A292:A294"/>
    <mergeCell ref="B292:B294"/>
    <mergeCell ref="A268:G268"/>
    <mergeCell ref="A272:A275"/>
    <mergeCell ref="B272:B275"/>
    <mergeCell ref="A276:A279"/>
    <mergeCell ref="B276:B279"/>
    <mergeCell ref="A280:A283"/>
    <mergeCell ref="B280:B283"/>
    <mergeCell ref="A306:A308"/>
    <mergeCell ref="B306:B308"/>
    <mergeCell ref="A309:A312"/>
    <mergeCell ref="B309:B312"/>
    <mergeCell ref="A313:A316"/>
    <mergeCell ref="B313:B316"/>
    <mergeCell ref="A295:A298"/>
    <mergeCell ref="B295:B298"/>
    <mergeCell ref="A299:A302"/>
    <mergeCell ref="B299:B302"/>
    <mergeCell ref="A303:A305"/>
    <mergeCell ref="B303:B305"/>
    <mergeCell ref="A330:B330"/>
    <mergeCell ref="A332:G332"/>
    <mergeCell ref="A336:A341"/>
    <mergeCell ref="B336:B341"/>
    <mergeCell ref="A343:A349"/>
    <mergeCell ref="B343:B349"/>
    <mergeCell ref="A317:A320"/>
    <mergeCell ref="B317:B320"/>
    <mergeCell ref="A321:A324"/>
    <mergeCell ref="B321:B324"/>
    <mergeCell ref="A326:A329"/>
    <mergeCell ref="B326:B329"/>
    <mergeCell ref="F361:G361"/>
    <mergeCell ref="F362:G362"/>
    <mergeCell ref="F363:G363"/>
    <mergeCell ref="F364:G364"/>
    <mergeCell ref="F365:G365"/>
    <mergeCell ref="A366:G366"/>
    <mergeCell ref="A350:A356"/>
    <mergeCell ref="B350:B356"/>
    <mergeCell ref="C357:D357"/>
    <mergeCell ref="C358:D358"/>
    <mergeCell ref="C359:D359"/>
    <mergeCell ref="A360:G360"/>
    <mergeCell ref="A383:F383"/>
    <mergeCell ref="B384:F384"/>
    <mergeCell ref="B386:F386"/>
    <mergeCell ref="B389:F389"/>
    <mergeCell ref="B392:F392"/>
    <mergeCell ref="B395:F395"/>
    <mergeCell ref="F367:G367"/>
    <mergeCell ref="F368:G368"/>
    <mergeCell ref="F369:G369"/>
    <mergeCell ref="A371:F371"/>
    <mergeCell ref="B375:F375"/>
    <mergeCell ref="A382:F382"/>
    <mergeCell ref="B412:F412"/>
    <mergeCell ref="B414:F414"/>
    <mergeCell ref="B416:F416"/>
    <mergeCell ref="B430:F430"/>
    <mergeCell ref="B437:F437"/>
    <mergeCell ref="B440:F440"/>
    <mergeCell ref="B397:F397"/>
    <mergeCell ref="B400:F400"/>
    <mergeCell ref="B402:F402"/>
    <mergeCell ref="B405:F405"/>
    <mergeCell ref="B408:F408"/>
    <mergeCell ref="B410:F410"/>
    <mergeCell ref="A479:F479"/>
    <mergeCell ref="A482:F482"/>
    <mergeCell ref="A483:F483"/>
    <mergeCell ref="B486:F486"/>
    <mergeCell ref="B497:F497"/>
    <mergeCell ref="B505:F505"/>
    <mergeCell ref="B445:F445"/>
    <mergeCell ref="B450:F450"/>
    <mergeCell ref="B452:F452"/>
    <mergeCell ref="B465:F465"/>
    <mergeCell ref="B467:F467"/>
    <mergeCell ref="B471:F471"/>
    <mergeCell ref="AK576:AO576"/>
    <mergeCell ref="BK579:BK580"/>
    <mergeCell ref="B612:F612"/>
    <mergeCell ref="B639:F639"/>
    <mergeCell ref="B674:F674"/>
    <mergeCell ref="B676:F676"/>
    <mergeCell ref="B516:F516"/>
    <mergeCell ref="B527:F527"/>
    <mergeCell ref="B530:F530"/>
    <mergeCell ref="B545:F545"/>
    <mergeCell ref="B550:F550"/>
    <mergeCell ref="B566:F566"/>
    <mergeCell ref="B725:F725"/>
    <mergeCell ref="B730:F730"/>
    <mergeCell ref="B732:F732"/>
    <mergeCell ref="B739:F739"/>
    <mergeCell ref="B741:F741"/>
    <mergeCell ref="B758:F758"/>
    <mergeCell ref="B677:F677"/>
    <mergeCell ref="B694:F694"/>
    <mergeCell ref="B695:F695"/>
    <mergeCell ref="B701:F701"/>
    <mergeCell ref="B702:F702"/>
    <mergeCell ref="B724:F724"/>
    <mergeCell ref="B839:F839"/>
    <mergeCell ref="B872:F872"/>
    <mergeCell ref="B885:F885"/>
    <mergeCell ref="B895:F895"/>
    <mergeCell ref="B899:F899"/>
    <mergeCell ref="B903:F903"/>
    <mergeCell ref="B760:F760"/>
    <mergeCell ref="B770:F770"/>
    <mergeCell ref="B785:F785"/>
    <mergeCell ref="B799:F799"/>
    <mergeCell ref="B828:F828"/>
    <mergeCell ref="B834:F834"/>
    <mergeCell ref="B953:F953"/>
    <mergeCell ref="B957:F957"/>
    <mergeCell ref="B972:F972"/>
    <mergeCell ref="B991:F991"/>
    <mergeCell ref="B995:F995"/>
    <mergeCell ref="B1001:F1001"/>
    <mergeCell ref="A922:G922"/>
    <mergeCell ref="B927:F927"/>
    <mergeCell ref="B932:F932"/>
    <mergeCell ref="B936:F936"/>
    <mergeCell ref="B939:F939"/>
    <mergeCell ref="B947:F947"/>
    <mergeCell ref="IT1122:IT1126"/>
    <mergeCell ref="B1129:F1129"/>
    <mergeCell ref="B1137:F1137"/>
    <mergeCell ref="A1160:F1160"/>
    <mergeCell ref="B1170:F1170"/>
    <mergeCell ref="B1005:F1005"/>
    <mergeCell ref="B1011:F1011"/>
    <mergeCell ref="B1017:F1017"/>
    <mergeCell ref="A1062:F1062"/>
    <mergeCell ref="A1066:F1066"/>
    <mergeCell ref="B1099:F1099"/>
    <mergeCell ref="GS1177:GS1179"/>
    <mergeCell ref="B1180:F1180"/>
    <mergeCell ref="A1186:A1189"/>
    <mergeCell ref="C1186:C1189"/>
    <mergeCell ref="D1186:D1187"/>
    <mergeCell ref="E1186:E1187"/>
    <mergeCell ref="F1186:F1187"/>
    <mergeCell ref="EH1186:EH1189"/>
    <mergeCell ref="A1121:F1121"/>
    <mergeCell ref="B1223:F1223"/>
    <mergeCell ref="B1224:F1224"/>
    <mergeCell ref="B1228:F1228"/>
    <mergeCell ref="B1232:F1232"/>
    <mergeCell ref="B1236:F1236"/>
    <mergeCell ref="B1240:F1240"/>
    <mergeCell ref="A1199:F1199"/>
    <mergeCell ref="A1202:F1202"/>
    <mergeCell ref="A1210:F1210"/>
    <mergeCell ref="B1211:F1211"/>
    <mergeCell ref="B1212:F1212"/>
    <mergeCell ref="B1218:F1218"/>
    <mergeCell ref="A1296:A1297"/>
    <mergeCell ref="B1306:F1306"/>
    <mergeCell ref="B1269:F1269"/>
    <mergeCell ref="B1270:F1270"/>
    <mergeCell ref="B1271:F1271"/>
    <mergeCell ref="B1272:F1272"/>
    <mergeCell ref="B1273:F1273"/>
    <mergeCell ref="B1274:F1274"/>
    <mergeCell ref="B1250:F1250"/>
    <mergeCell ref="B1253:F1253"/>
    <mergeCell ref="B1256:F1256"/>
    <mergeCell ref="B1260:F1260"/>
    <mergeCell ref="B1264:F1264"/>
    <mergeCell ref="A1265:A1275"/>
    <mergeCell ref="B1265:F1265"/>
    <mergeCell ref="B1266:F1266"/>
    <mergeCell ref="B1267:F1267"/>
    <mergeCell ref="B1268:F1268"/>
    <mergeCell ref="B1309:F1309"/>
    <mergeCell ref="B1322:F1322"/>
    <mergeCell ref="B1335:F1335"/>
    <mergeCell ref="B1338:F1338"/>
    <mergeCell ref="B1348:F1348"/>
    <mergeCell ref="B1349:F1349"/>
    <mergeCell ref="B1275:F1275"/>
    <mergeCell ref="B1279:F1279"/>
    <mergeCell ref="B1282:F1282"/>
    <mergeCell ref="B1293:F1293"/>
    <mergeCell ref="B1391:F1391"/>
    <mergeCell ref="B1397:F1397"/>
    <mergeCell ref="A1405:F1405"/>
    <mergeCell ref="B1407:F1407"/>
    <mergeCell ref="B1411:F1411"/>
    <mergeCell ref="B1416:F1416"/>
    <mergeCell ref="B1361:F1361"/>
    <mergeCell ref="A1365:F1365"/>
    <mergeCell ref="B1366:F1366"/>
    <mergeCell ref="B1375:F1375"/>
    <mergeCell ref="B1379:F1379"/>
    <mergeCell ref="B1386:F1386"/>
    <mergeCell ref="B1446:F1446"/>
    <mergeCell ref="B1448:F1448"/>
    <mergeCell ref="A1455:F1455"/>
    <mergeCell ref="B1457:F1457"/>
    <mergeCell ref="B1461:F1461"/>
    <mergeCell ref="A1472:F1472"/>
    <mergeCell ref="A1422:F1422"/>
    <mergeCell ref="B1423:F1423"/>
    <mergeCell ref="B1424:F1424"/>
    <mergeCell ref="B1427:F1427"/>
    <mergeCell ref="B1435:F1435"/>
    <mergeCell ref="B1439:F1439"/>
    <mergeCell ref="D1481:F1481"/>
    <mergeCell ref="D1482:F1482"/>
    <mergeCell ref="D1483:F1483"/>
    <mergeCell ref="D1484:F1484"/>
    <mergeCell ref="D1485:F1485"/>
    <mergeCell ref="D1486:F1486"/>
    <mergeCell ref="A1475:F1475"/>
    <mergeCell ref="D1476:F1476"/>
    <mergeCell ref="D1477:F1477"/>
    <mergeCell ref="B1478:F1478"/>
    <mergeCell ref="D1479:F1479"/>
    <mergeCell ref="D1480:F1480"/>
    <mergeCell ref="B1561:B1562"/>
    <mergeCell ref="A1542:G1542"/>
    <mergeCell ref="A1544:A1545"/>
    <mergeCell ref="B1544:B1545"/>
    <mergeCell ref="C1544:C1545"/>
    <mergeCell ref="A1548:F1548"/>
    <mergeCell ref="B1553:F1553"/>
    <mergeCell ref="D1487:F1487"/>
    <mergeCell ref="D1488:F1488"/>
    <mergeCell ref="D1489:F1489"/>
    <mergeCell ref="A1533:G1533"/>
    <mergeCell ref="A1534:G1534"/>
    <mergeCell ref="A1541:G1541"/>
  </mergeCells>
  <pageMargins left="0.78740157480314965" right="0.39370078740157483" top="0.59055118110236227" bottom="0.39370078740157483" header="0.31496062992125984" footer="0.31496062992125984"/>
  <pageSetup paperSize="9" scale="75" firstPageNumber="0" orientation="portrait" horizontalDpi="300" verticalDpi="300" r:id="rId1"/>
  <headerFooter alignWithMargins="0">
    <oddFooter xml:space="preserve">&amp;CСтраница  &amp;P&amp;R
</oddFooter>
  </headerFooter>
  <rowBreaks count="6" manualBreakCount="6">
    <brk id="256" max="8" man="1"/>
    <brk id="852" max="8" man="1"/>
    <brk id="894" max="8" man="1"/>
    <brk id="1474" max="8" man="1"/>
    <brk id="1532" max="8" man="1"/>
    <brk id="1547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</sheetPr>
  <dimension ref="A1:IV1609"/>
  <sheetViews>
    <sheetView view="pageBreakPreview" topLeftCell="A78" zoomScaleSheetLayoutView="100" zoomScalePageLayoutView="59" workbookViewId="0">
      <selection activeCell="D1443" sqref="D1443"/>
    </sheetView>
  </sheetViews>
  <sheetFormatPr defaultRowHeight="12.75" x14ac:dyDescent="0.2"/>
  <cols>
    <col min="1" max="1" width="8.5703125" style="374" customWidth="1"/>
    <col min="2" max="2" width="40" style="1" customWidth="1"/>
    <col min="3" max="3" width="21.42578125" style="374" customWidth="1"/>
    <col min="4" max="4" width="21.85546875" style="374" customWidth="1"/>
    <col min="5" max="5" width="17" style="253" customWidth="1"/>
    <col min="6" max="6" width="12" style="410" hidden="1" customWidth="1"/>
    <col min="7" max="7" width="17.28515625" style="226" hidden="1" customWidth="1"/>
    <col min="8" max="8" width="11" style="253" hidden="1" customWidth="1"/>
    <col min="9" max="16" width="9.140625" style="253" hidden="1" customWidth="1"/>
    <col min="17" max="19" width="9.140625" style="253" customWidth="1"/>
    <col min="20" max="36" width="9.140625" customWidth="1"/>
    <col min="37" max="37" width="19.140625" customWidth="1"/>
    <col min="38" max="67" width="9.140625" customWidth="1"/>
    <col min="68" max="68" width="33.28515625" customWidth="1"/>
    <col min="69" max="85" width="9.140625" customWidth="1"/>
    <col min="86" max="86" width="4.5703125" customWidth="1"/>
    <col min="87" max="173" width="9.140625" customWidth="1"/>
  </cols>
  <sheetData>
    <row r="1" hidden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hidden="1" x14ac:dyDescent="0.2"/>
    <row r="18" hidden="1" x14ac:dyDescent="0.2"/>
    <row r="19" hidden="1" x14ac:dyDescent="0.2"/>
    <row r="20" hidden="1" x14ac:dyDescent="0.2"/>
    <row r="21" hidden="1" x14ac:dyDescent="0.2"/>
    <row r="22" hidden="1" x14ac:dyDescent="0.2"/>
    <row r="23" hidden="1" x14ac:dyDescent="0.2"/>
    <row r="24" hidden="1" x14ac:dyDescent="0.2"/>
    <row r="25" hidden="1" x14ac:dyDescent="0.2"/>
    <row r="26" hidden="1" x14ac:dyDescent="0.2"/>
    <row r="27" hidden="1" x14ac:dyDescent="0.2"/>
    <row r="28" hidden="1" x14ac:dyDescent="0.2"/>
    <row r="29" hidden="1" x14ac:dyDescent="0.2"/>
    <row r="30" hidden="1" x14ac:dyDescent="0.2"/>
    <row r="31" hidden="1" x14ac:dyDescent="0.2"/>
    <row r="32" hidden="1" x14ac:dyDescent="0.2"/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spans="1:7" hidden="1" x14ac:dyDescent="0.2"/>
    <row r="66" spans="1:7" hidden="1" x14ac:dyDescent="0.2"/>
    <row r="67" spans="1:7" hidden="1" x14ac:dyDescent="0.2"/>
    <row r="68" spans="1:7" hidden="1" x14ac:dyDescent="0.2"/>
    <row r="69" spans="1:7" hidden="1" x14ac:dyDescent="0.2"/>
    <row r="70" spans="1:7" hidden="1" x14ac:dyDescent="0.2"/>
    <row r="71" spans="1:7" hidden="1" x14ac:dyDescent="0.2"/>
    <row r="72" spans="1:7" hidden="1" x14ac:dyDescent="0.2"/>
    <row r="73" spans="1:7" hidden="1" x14ac:dyDescent="0.2"/>
    <row r="74" spans="1:7" hidden="1" x14ac:dyDescent="0.2"/>
    <row r="75" spans="1:7" hidden="1" x14ac:dyDescent="0.2"/>
    <row r="76" spans="1:7" hidden="1" x14ac:dyDescent="0.2"/>
    <row r="77" spans="1:7" ht="9" hidden="1" customHeight="1" x14ac:dyDescent="0.2">
      <c r="A77" s="491"/>
      <c r="B77" s="491"/>
      <c r="C77" s="491"/>
      <c r="D77" s="491"/>
      <c r="E77" s="491"/>
      <c r="F77" s="491"/>
      <c r="G77" s="491"/>
    </row>
    <row r="78" spans="1:7" ht="18.75" x14ac:dyDescent="0.3">
      <c r="A78" s="492"/>
      <c r="B78" s="492"/>
      <c r="C78" s="492"/>
      <c r="D78" s="492"/>
      <c r="E78" s="492"/>
      <c r="F78" s="492"/>
      <c r="G78" s="492"/>
    </row>
    <row r="79" spans="1:7" ht="18.75" x14ac:dyDescent="0.3">
      <c r="A79" s="487" t="s">
        <v>0</v>
      </c>
      <c r="B79" s="487"/>
      <c r="C79" s="487"/>
      <c r="D79" s="487"/>
      <c r="E79" s="487"/>
      <c r="F79" s="369"/>
      <c r="G79" s="369"/>
    </row>
    <row r="80" spans="1:7" ht="18.75" x14ac:dyDescent="0.3">
      <c r="A80" s="487" t="s">
        <v>1</v>
      </c>
      <c r="B80" s="487"/>
      <c r="C80" s="487"/>
      <c r="D80" s="487"/>
      <c r="E80" s="487"/>
      <c r="F80" s="369"/>
      <c r="G80" s="369"/>
    </row>
    <row r="81" spans="1:19" ht="18.75" x14ac:dyDescent="0.3">
      <c r="A81" s="487" t="s">
        <v>2</v>
      </c>
      <c r="B81" s="487"/>
      <c r="C81" s="487"/>
      <c r="D81" s="487"/>
      <c r="E81" s="487"/>
      <c r="F81" s="369"/>
      <c r="G81" s="369"/>
    </row>
    <row r="82" spans="1:19" ht="18.75" x14ac:dyDescent="0.3">
      <c r="A82" s="369"/>
      <c r="B82" s="369"/>
      <c r="C82" s="369"/>
      <c r="D82" s="369"/>
      <c r="E82" s="369"/>
      <c r="F82" s="369"/>
      <c r="G82" s="369"/>
    </row>
    <row r="83" spans="1:19" ht="18.75" x14ac:dyDescent="0.3">
      <c r="A83" s="487" t="s">
        <v>3</v>
      </c>
      <c r="B83" s="487"/>
      <c r="C83" s="487"/>
      <c r="D83" s="487"/>
      <c r="E83" s="487"/>
      <c r="F83" s="369"/>
      <c r="G83" s="369"/>
    </row>
    <row r="84" spans="1:19" ht="18.75" x14ac:dyDescent="0.3">
      <c r="A84" s="369"/>
      <c r="B84" s="369"/>
      <c r="C84" s="369"/>
      <c r="D84" s="369"/>
      <c r="E84" s="369"/>
      <c r="F84" s="369"/>
      <c r="G84" s="369"/>
    </row>
    <row r="85" spans="1:19" ht="18.75" x14ac:dyDescent="0.3">
      <c r="A85" s="487" t="s">
        <v>2269</v>
      </c>
      <c r="B85" s="487"/>
      <c r="C85" s="487"/>
      <c r="D85" s="487"/>
      <c r="E85" s="487"/>
      <c r="F85" s="369"/>
      <c r="G85" s="369"/>
    </row>
    <row r="86" spans="1:19" ht="18.75" x14ac:dyDescent="0.3">
      <c r="A86" s="373"/>
      <c r="B86" s="5"/>
      <c r="C86" s="373"/>
      <c r="D86" s="373"/>
      <c r="E86" s="543"/>
      <c r="F86" s="543"/>
      <c r="G86" s="543"/>
    </row>
    <row r="87" spans="1:19" x14ac:dyDescent="0.2">
      <c r="E87" s="544"/>
      <c r="F87" s="544"/>
      <c r="G87" s="544"/>
    </row>
    <row r="88" spans="1:19" ht="19.5" customHeight="1" x14ac:dyDescent="0.2">
      <c r="C88" s="3"/>
      <c r="D88" s="3"/>
      <c r="E88" s="226"/>
      <c r="F88" s="226"/>
      <c r="H88" s="226"/>
      <c r="I88" s="226"/>
      <c r="J88" s="226"/>
      <c r="K88" s="226"/>
      <c r="L88" s="226"/>
      <c r="M88" s="226"/>
      <c r="N88" s="226"/>
      <c r="O88" s="226"/>
    </row>
    <row r="89" spans="1:19" ht="20.25" x14ac:dyDescent="0.2">
      <c r="A89" s="490" t="s">
        <v>4</v>
      </c>
      <c r="B89" s="490"/>
      <c r="C89" s="490"/>
      <c r="D89" s="490"/>
      <c r="E89" s="490"/>
      <c r="F89" s="194"/>
      <c r="G89" s="194"/>
    </row>
    <row r="90" spans="1:19" ht="60" customHeight="1" x14ac:dyDescent="0.2">
      <c r="A90" s="424" t="s">
        <v>1753</v>
      </c>
      <c r="B90" s="424"/>
      <c r="C90" s="424"/>
      <c r="D90" s="424"/>
      <c r="E90" s="424"/>
      <c r="F90" s="195"/>
      <c r="G90" s="195"/>
    </row>
    <row r="91" spans="1:19" ht="11.25" customHeight="1" x14ac:dyDescent="0.2">
      <c r="A91" s="494"/>
      <c r="B91" s="494"/>
      <c r="C91" s="494"/>
      <c r="D91" s="494"/>
      <c r="E91" s="494"/>
      <c r="F91" s="494"/>
      <c r="G91" s="494"/>
    </row>
    <row r="92" spans="1:19" ht="25.5" customHeight="1" x14ac:dyDescent="0.2">
      <c r="A92" s="494" t="s">
        <v>2367</v>
      </c>
      <c r="B92" s="494"/>
      <c r="C92" s="494"/>
      <c r="D92" s="494"/>
      <c r="E92" s="494"/>
      <c r="F92" s="494"/>
      <c r="G92" s="494"/>
    </row>
    <row r="93" spans="1:19" ht="36.75" customHeight="1" x14ac:dyDescent="0.2">
      <c r="A93" s="428" t="s">
        <v>2037</v>
      </c>
      <c r="B93" s="494"/>
      <c r="C93" s="494"/>
      <c r="D93" s="494"/>
      <c r="E93" s="494"/>
      <c r="F93" s="370"/>
      <c r="G93" s="370"/>
    </row>
    <row r="94" spans="1:19" s="6" customFormat="1" ht="26.25" customHeight="1" x14ac:dyDescent="0.2">
      <c r="A94" s="424" t="s">
        <v>2039</v>
      </c>
      <c r="B94" s="424"/>
      <c r="C94" s="424"/>
      <c r="D94" s="424"/>
      <c r="E94" s="424"/>
      <c r="F94" s="195"/>
      <c r="G94" s="195"/>
      <c r="H94" s="253"/>
      <c r="I94" s="253"/>
      <c r="J94" s="253"/>
      <c r="K94" s="253"/>
      <c r="L94" s="253"/>
      <c r="M94" s="253"/>
      <c r="N94" s="253"/>
      <c r="O94" s="253"/>
      <c r="P94" s="253"/>
      <c r="Q94" s="253"/>
      <c r="R94" s="253"/>
      <c r="S94" s="253"/>
    </row>
    <row r="95" spans="1:19" s="6" customFormat="1" ht="15.75" hidden="1" x14ac:dyDescent="0.25">
      <c r="A95" s="7"/>
      <c r="B95" s="1"/>
      <c r="C95" s="374"/>
      <c r="D95" s="374"/>
      <c r="E95" s="253"/>
      <c r="F95" s="410"/>
      <c r="G95" s="226"/>
      <c r="H95" s="253"/>
      <c r="I95" s="253"/>
      <c r="J95" s="253"/>
      <c r="K95" s="253"/>
      <c r="L95" s="253"/>
      <c r="M95" s="253"/>
      <c r="N95" s="253"/>
      <c r="O95" s="253"/>
      <c r="P95" s="253"/>
      <c r="Q95" s="253"/>
      <c r="R95" s="253"/>
      <c r="S95" s="253"/>
    </row>
    <row r="96" spans="1:19" s="2" customFormat="1" ht="70.5" customHeight="1" x14ac:dyDescent="0.2">
      <c r="A96" s="396" t="s">
        <v>6</v>
      </c>
      <c r="B96" s="386" t="s">
        <v>7</v>
      </c>
      <c r="C96" s="386" t="s">
        <v>8</v>
      </c>
      <c r="D96" s="386" t="s">
        <v>9</v>
      </c>
      <c r="E96" s="386" t="s">
        <v>10</v>
      </c>
      <c r="F96" s="200" t="s">
        <v>11</v>
      </c>
      <c r="G96" s="371" t="s">
        <v>12</v>
      </c>
      <c r="H96" s="253"/>
      <c r="I96" s="253"/>
      <c r="J96" s="253"/>
      <c r="K96" s="303"/>
      <c r="L96" s="253"/>
      <c r="M96" s="253"/>
      <c r="N96" s="253"/>
      <c r="O96" s="253"/>
      <c r="P96" s="253"/>
      <c r="Q96" s="253"/>
      <c r="R96" s="253"/>
      <c r="S96" s="253"/>
    </row>
    <row r="97" spans="1:61" s="10" customFormat="1" ht="15.75" x14ac:dyDescent="0.2">
      <c r="A97" s="396">
        <v>1</v>
      </c>
      <c r="B97" s="386">
        <v>2</v>
      </c>
      <c r="C97" s="386">
        <v>3</v>
      </c>
      <c r="D97" s="386">
        <v>4</v>
      </c>
      <c r="E97" s="386">
        <v>5</v>
      </c>
      <c r="F97" s="371">
        <v>6</v>
      </c>
      <c r="G97" s="371">
        <v>7</v>
      </c>
      <c r="H97" s="273"/>
      <c r="I97" s="542" t="s">
        <v>13</v>
      </c>
      <c r="J97" s="542"/>
      <c r="K97" s="273"/>
      <c r="L97" s="273"/>
      <c r="M97" s="273"/>
      <c r="N97" s="273"/>
      <c r="O97" s="273"/>
      <c r="P97" s="273"/>
      <c r="Q97" s="273"/>
      <c r="R97" s="273"/>
      <c r="S97" s="273"/>
    </row>
    <row r="98" spans="1:61" s="2" customFormat="1" ht="39" customHeight="1" x14ac:dyDescent="0.2">
      <c r="A98" s="462" t="s">
        <v>14</v>
      </c>
      <c r="B98" s="481" t="s">
        <v>15</v>
      </c>
      <c r="C98" s="379" t="s">
        <v>16</v>
      </c>
      <c r="D98" s="12" t="s">
        <v>17</v>
      </c>
      <c r="E98" s="13">
        <f>533.5*1.055</f>
        <v>562.84</v>
      </c>
      <c r="F98" s="96">
        <f>E98*20%</f>
        <v>112.57</v>
      </c>
      <c r="G98" s="96">
        <f>E98+F98</f>
        <v>675.41</v>
      </c>
      <c r="H98" s="253"/>
      <c r="I98" s="304">
        <f>E98*18%</f>
        <v>101.31</v>
      </c>
      <c r="J98" s="304">
        <f>E98*1.18</f>
        <v>664.15</v>
      </c>
      <c r="K98" s="253"/>
      <c r="L98" s="253"/>
      <c r="M98" s="253"/>
      <c r="N98" s="253"/>
      <c r="O98" s="253"/>
      <c r="P98" s="253"/>
      <c r="Q98" s="253"/>
      <c r="R98" s="253"/>
      <c r="S98" s="253"/>
      <c r="AL98" s="2">
        <f>461.9*5%</f>
        <v>23.094999999999999</v>
      </c>
      <c r="AM98" s="305">
        <f>461.9+AL98</f>
        <v>485</v>
      </c>
      <c r="AN98" s="305">
        <f>AM98-E98</f>
        <v>-77.84</v>
      </c>
      <c r="BH98" s="305">
        <f>442.01*1.045</f>
        <v>461.9</v>
      </c>
      <c r="BI98" s="305">
        <f>BH98-E98</f>
        <v>-100.94</v>
      </c>
    </row>
    <row r="99" spans="1:61" s="2" customFormat="1" ht="18.75" customHeight="1" x14ac:dyDescent="0.2">
      <c r="A99" s="462"/>
      <c r="B99" s="481"/>
      <c r="C99" s="379" t="s">
        <v>18</v>
      </c>
      <c r="D99" s="379" t="s">
        <v>19</v>
      </c>
      <c r="E99" s="13">
        <f>329.33*1.055</f>
        <v>347.44</v>
      </c>
      <c r="F99" s="96">
        <f t="shared" ref="F99:F162" si="0">E99*20%</f>
        <v>69.489999999999995</v>
      </c>
      <c r="G99" s="96">
        <f t="shared" ref="G99:G162" si="1">E99+F99</f>
        <v>416.93</v>
      </c>
      <c r="H99" s="253"/>
      <c r="I99" s="304">
        <f t="shared" ref="I99:I162" si="2">E99*18%</f>
        <v>62.54</v>
      </c>
      <c r="J99" s="304">
        <f t="shared" ref="J99:J162" si="3">E99*1.18</f>
        <v>409.98</v>
      </c>
      <c r="K99" s="253"/>
      <c r="L99" s="253"/>
      <c r="M99" s="253"/>
      <c r="N99" s="253"/>
      <c r="O99" s="253"/>
      <c r="P99" s="253"/>
      <c r="Q99" s="253"/>
      <c r="R99" s="253"/>
      <c r="S99" s="253"/>
      <c r="T99" s="2" t="s">
        <v>20</v>
      </c>
      <c r="BH99" s="2">
        <v>329.33</v>
      </c>
      <c r="BI99" s="305">
        <f>BH99-E99</f>
        <v>-18.11</v>
      </c>
    </row>
    <row r="100" spans="1:61" s="2" customFormat="1" ht="37.5" customHeight="1" x14ac:dyDescent="0.2">
      <c r="A100" s="462"/>
      <c r="B100" s="481"/>
      <c r="C100" s="12" t="s">
        <v>21</v>
      </c>
      <c r="D100" s="379" t="s">
        <v>19</v>
      </c>
      <c r="E100" s="13">
        <f>214.47*1.055</f>
        <v>226.27</v>
      </c>
      <c r="F100" s="96">
        <f t="shared" si="0"/>
        <v>45.25</v>
      </c>
      <c r="G100" s="96">
        <f t="shared" si="1"/>
        <v>271.52</v>
      </c>
      <c r="H100" s="284"/>
      <c r="I100" s="306">
        <f t="shared" si="2"/>
        <v>40.729999999999997</v>
      </c>
      <c r="J100" s="306">
        <f t="shared" si="3"/>
        <v>267</v>
      </c>
      <c r="K100" s="284"/>
      <c r="L100" s="284"/>
      <c r="M100" s="284"/>
      <c r="N100" s="284"/>
      <c r="O100" s="284"/>
      <c r="P100" s="284"/>
      <c r="Q100" s="284"/>
      <c r="R100" s="284"/>
      <c r="S100" s="284"/>
    </row>
    <row r="101" spans="1:61" s="2" customFormat="1" ht="47.25" customHeight="1" x14ac:dyDescent="0.2">
      <c r="A101" s="462"/>
      <c r="B101" s="481"/>
      <c r="C101" s="12" t="s">
        <v>22</v>
      </c>
      <c r="D101" s="379" t="s">
        <v>19</v>
      </c>
      <c r="E101" s="13">
        <f>338.07*1.055</f>
        <v>356.66</v>
      </c>
      <c r="F101" s="96">
        <f t="shared" si="0"/>
        <v>71.33</v>
      </c>
      <c r="G101" s="96">
        <f t="shared" si="1"/>
        <v>427.99</v>
      </c>
      <c r="H101" s="253"/>
      <c r="I101" s="304">
        <f t="shared" si="2"/>
        <v>64.2</v>
      </c>
      <c r="J101" s="304">
        <f t="shared" si="3"/>
        <v>420.86</v>
      </c>
      <c r="K101" s="253"/>
      <c r="L101" s="253"/>
      <c r="M101" s="253"/>
      <c r="N101" s="253"/>
      <c r="O101" s="253"/>
      <c r="P101" s="253"/>
      <c r="Q101" s="253"/>
      <c r="R101" s="253"/>
      <c r="S101" s="253"/>
    </row>
    <row r="102" spans="1:61" s="2" customFormat="1" ht="38.25" customHeight="1" x14ac:dyDescent="0.2">
      <c r="A102" s="462"/>
      <c r="B102" s="481"/>
      <c r="C102" s="12" t="s">
        <v>23</v>
      </c>
      <c r="D102" s="379" t="s">
        <v>19</v>
      </c>
      <c r="E102" s="13">
        <f>168.57*1.055</f>
        <v>177.84</v>
      </c>
      <c r="F102" s="96">
        <f t="shared" si="0"/>
        <v>35.57</v>
      </c>
      <c r="G102" s="96">
        <f t="shared" si="1"/>
        <v>213.41</v>
      </c>
      <c r="H102" s="253" t="s">
        <v>24</v>
      </c>
      <c r="I102" s="304">
        <f t="shared" si="2"/>
        <v>32.01</v>
      </c>
      <c r="J102" s="304">
        <f t="shared" si="3"/>
        <v>209.85</v>
      </c>
      <c r="K102" s="253"/>
      <c r="L102" s="253"/>
      <c r="M102" s="253"/>
      <c r="N102" s="253"/>
      <c r="O102" s="253"/>
      <c r="P102" s="253"/>
      <c r="Q102" s="253"/>
      <c r="R102" s="253"/>
      <c r="S102" s="253"/>
    </row>
    <row r="103" spans="1:61" s="2" customFormat="1" ht="36.75" customHeight="1" x14ac:dyDescent="0.2">
      <c r="A103" s="462"/>
      <c r="B103" s="481"/>
      <c r="C103" s="16" t="s">
        <v>25</v>
      </c>
      <c r="D103" s="379" t="s">
        <v>19</v>
      </c>
      <c r="E103" s="13">
        <f>148.65*1.055</f>
        <v>156.83000000000001</v>
      </c>
      <c r="F103" s="96">
        <f t="shared" si="0"/>
        <v>31.37</v>
      </c>
      <c r="G103" s="96">
        <f t="shared" si="1"/>
        <v>188.2</v>
      </c>
      <c r="H103" s="253"/>
      <c r="I103" s="304">
        <f t="shared" si="2"/>
        <v>28.23</v>
      </c>
      <c r="J103" s="304">
        <f t="shared" si="3"/>
        <v>185.06</v>
      </c>
      <c r="K103" s="253"/>
      <c r="L103" s="253"/>
      <c r="M103" s="253"/>
      <c r="N103" s="253"/>
      <c r="O103" s="253"/>
      <c r="P103" s="253"/>
      <c r="Q103" s="253"/>
      <c r="R103" s="253"/>
      <c r="S103" s="253"/>
    </row>
    <row r="104" spans="1:61" s="2" customFormat="1" ht="39" customHeight="1" x14ac:dyDescent="0.2">
      <c r="A104" s="462" t="s">
        <v>26</v>
      </c>
      <c r="B104" s="481" t="s">
        <v>27</v>
      </c>
      <c r="C104" s="379" t="s">
        <v>16</v>
      </c>
      <c r="D104" s="12" t="s">
        <v>17</v>
      </c>
      <c r="E104" s="13">
        <f>574.31*1.055</f>
        <v>605.9</v>
      </c>
      <c r="F104" s="96">
        <f t="shared" si="0"/>
        <v>121.18</v>
      </c>
      <c r="G104" s="96">
        <f t="shared" si="1"/>
        <v>727.08</v>
      </c>
      <c r="H104" s="253"/>
      <c r="I104" s="304">
        <f t="shared" si="2"/>
        <v>109.06</v>
      </c>
      <c r="J104" s="304">
        <f t="shared" si="3"/>
        <v>714.96</v>
      </c>
      <c r="K104" s="253"/>
      <c r="L104" s="253"/>
      <c r="M104" s="253"/>
      <c r="N104" s="253"/>
      <c r="O104" s="253"/>
      <c r="P104" s="253"/>
      <c r="Q104" s="253"/>
      <c r="R104" s="253"/>
      <c r="S104" s="253"/>
      <c r="T104" s="253"/>
    </row>
    <row r="105" spans="1:61" s="2" customFormat="1" ht="17.25" customHeight="1" x14ac:dyDescent="0.2">
      <c r="A105" s="462"/>
      <c r="B105" s="481"/>
      <c r="C105" s="379" t="s">
        <v>28</v>
      </c>
      <c r="D105" s="379" t="s">
        <v>19</v>
      </c>
      <c r="E105" s="13">
        <f>403.01*1.055</f>
        <v>425.18</v>
      </c>
      <c r="F105" s="96">
        <f t="shared" si="0"/>
        <v>85.04</v>
      </c>
      <c r="G105" s="96">
        <f t="shared" si="1"/>
        <v>510.22</v>
      </c>
      <c r="H105" s="253"/>
      <c r="I105" s="304">
        <f t="shared" si="2"/>
        <v>76.53</v>
      </c>
      <c r="J105" s="304">
        <f t="shared" si="3"/>
        <v>501.71</v>
      </c>
      <c r="K105" s="253"/>
      <c r="L105" s="253"/>
      <c r="M105" s="253"/>
      <c r="N105" s="253"/>
      <c r="O105" s="253"/>
      <c r="P105" s="253"/>
      <c r="Q105" s="253"/>
      <c r="R105" s="253"/>
      <c r="S105" s="253"/>
      <c r="T105" s="253"/>
    </row>
    <row r="106" spans="1:61" s="2" customFormat="1" ht="36" customHeight="1" x14ac:dyDescent="0.2">
      <c r="A106" s="462"/>
      <c r="B106" s="481"/>
      <c r="C106" s="12" t="s">
        <v>21</v>
      </c>
      <c r="D106" s="379" t="s">
        <v>19</v>
      </c>
      <c r="E106" s="13">
        <f>214.47*1.055</f>
        <v>226.27</v>
      </c>
      <c r="F106" s="96">
        <f t="shared" si="0"/>
        <v>45.25</v>
      </c>
      <c r="G106" s="96">
        <f t="shared" si="1"/>
        <v>271.52</v>
      </c>
      <c r="H106" s="253"/>
      <c r="I106" s="304">
        <f t="shared" si="2"/>
        <v>40.729999999999997</v>
      </c>
      <c r="J106" s="304">
        <f t="shared" si="3"/>
        <v>267</v>
      </c>
      <c r="K106" s="253"/>
      <c r="L106" s="253"/>
      <c r="M106" s="253"/>
      <c r="N106" s="253"/>
      <c r="O106" s="253"/>
      <c r="P106" s="253"/>
      <c r="Q106" s="253"/>
      <c r="R106" s="253"/>
      <c r="S106" s="253"/>
      <c r="T106" s="253"/>
    </row>
    <row r="107" spans="1:61" s="2" customFormat="1" ht="47.25" customHeight="1" x14ac:dyDescent="0.2">
      <c r="A107" s="462"/>
      <c r="B107" s="481"/>
      <c r="C107" s="12" t="s">
        <v>22</v>
      </c>
      <c r="D107" s="379" t="s">
        <v>19</v>
      </c>
      <c r="E107" s="13">
        <f>338.07*1.055</f>
        <v>356.66</v>
      </c>
      <c r="F107" s="96">
        <f t="shared" si="0"/>
        <v>71.33</v>
      </c>
      <c r="G107" s="96">
        <f t="shared" si="1"/>
        <v>427.99</v>
      </c>
      <c r="H107" s="253"/>
      <c r="I107" s="304">
        <f t="shared" si="2"/>
        <v>64.2</v>
      </c>
      <c r="J107" s="304">
        <f t="shared" si="3"/>
        <v>420.86</v>
      </c>
      <c r="K107" s="253"/>
      <c r="L107" s="253"/>
      <c r="M107" s="253"/>
      <c r="N107" s="253"/>
      <c r="O107" s="253"/>
      <c r="P107" s="253"/>
      <c r="Q107" s="253"/>
      <c r="R107" s="253"/>
      <c r="S107" s="253"/>
      <c r="T107" s="253"/>
    </row>
    <row r="108" spans="1:61" s="2" customFormat="1" ht="37.5" customHeight="1" x14ac:dyDescent="0.2">
      <c r="A108" s="462"/>
      <c r="B108" s="481"/>
      <c r="C108" s="12" t="s">
        <v>23</v>
      </c>
      <c r="D108" s="379" t="s">
        <v>19</v>
      </c>
      <c r="E108" s="13">
        <f>168.57*1.055</f>
        <v>177.84</v>
      </c>
      <c r="F108" s="96">
        <f t="shared" si="0"/>
        <v>35.57</v>
      </c>
      <c r="G108" s="96">
        <f t="shared" si="1"/>
        <v>213.41</v>
      </c>
      <c r="H108" s="253"/>
      <c r="I108" s="304">
        <f t="shared" si="2"/>
        <v>32.01</v>
      </c>
      <c r="J108" s="304">
        <f t="shared" si="3"/>
        <v>209.85</v>
      </c>
      <c r="K108" s="253"/>
      <c r="L108" s="253"/>
      <c r="M108" s="253"/>
      <c r="N108" s="253"/>
      <c r="O108" s="253"/>
      <c r="P108" s="253"/>
      <c r="Q108" s="253"/>
      <c r="R108" s="253"/>
      <c r="S108" s="253"/>
      <c r="T108" s="253"/>
    </row>
    <row r="109" spans="1:61" s="2" customFormat="1" ht="39.75" customHeight="1" x14ac:dyDescent="0.2">
      <c r="A109" s="462"/>
      <c r="B109" s="481"/>
      <c r="C109" s="16" t="s">
        <v>25</v>
      </c>
      <c r="D109" s="379" t="s">
        <v>19</v>
      </c>
      <c r="E109" s="13">
        <f>148.65*1.055</f>
        <v>156.83000000000001</v>
      </c>
      <c r="F109" s="96">
        <f t="shared" si="0"/>
        <v>31.37</v>
      </c>
      <c r="G109" s="96">
        <f t="shared" si="1"/>
        <v>188.2</v>
      </c>
      <c r="H109" s="253"/>
      <c r="I109" s="304">
        <f t="shared" si="2"/>
        <v>28.23</v>
      </c>
      <c r="J109" s="304">
        <f t="shared" si="3"/>
        <v>185.06</v>
      </c>
      <c r="K109" s="253"/>
      <c r="L109" s="253"/>
      <c r="M109" s="253"/>
      <c r="N109" s="253"/>
      <c r="O109" s="253"/>
      <c r="P109" s="253"/>
      <c r="Q109" s="253"/>
      <c r="R109" s="253"/>
      <c r="S109" s="253"/>
      <c r="T109" s="253"/>
    </row>
    <row r="110" spans="1:61" s="2" customFormat="1" ht="37.5" customHeight="1" x14ac:dyDescent="0.2">
      <c r="A110" s="462" t="s">
        <v>29</v>
      </c>
      <c r="B110" s="482" t="s">
        <v>30</v>
      </c>
      <c r="C110" s="379" t="s">
        <v>16</v>
      </c>
      <c r="D110" s="12" t="s">
        <v>17</v>
      </c>
      <c r="E110" s="13">
        <f>508.16*1.055</f>
        <v>536.11</v>
      </c>
      <c r="F110" s="96">
        <f t="shared" si="0"/>
        <v>107.22</v>
      </c>
      <c r="G110" s="96">
        <f t="shared" si="1"/>
        <v>643.33000000000004</v>
      </c>
      <c r="H110" s="253"/>
      <c r="I110" s="304">
        <f t="shared" si="2"/>
        <v>96.5</v>
      </c>
      <c r="J110" s="304">
        <f t="shared" si="3"/>
        <v>632.61</v>
      </c>
      <c r="K110" s="253"/>
      <c r="L110" s="253"/>
      <c r="M110" s="253"/>
      <c r="N110" s="253"/>
      <c r="O110" s="253"/>
      <c r="P110" s="253"/>
      <c r="Q110" s="253"/>
      <c r="R110" s="253"/>
      <c r="S110" s="253"/>
    </row>
    <row r="111" spans="1:61" s="2" customFormat="1" ht="17.25" customHeight="1" x14ac:dyDescent="0.2">
      <c r="A111" s="462"/>
      <c r="B111" s="482"/>
      <c r="C111" s="379" t="s">
        <v>28</v>
      </c>
      <c r="D111" s="379" t="s">
        <v>19</v>
      </c>
      <c r="E111" s="13">
        <f>359.88*1.055</f>
        <v>379.67</v>
      </c>
      <c r="F111" s="96">
        <f t="shared" si="0"/>
        <v>75.930000000000007</v>
      </c>
      <c r="G111" s="96">
        <f t="shared" si="1"/>
        <v>455.6</v>
      </c>
      <c r="H111" s="253"/>
      <c r="I111" s="304">
        <f t="shared" si="2"/>
        <v>68.34</v>
      </c>
      <c r="J111" s="304">
        <f t="shared" si="3"/>
        <v>448.01</v>
      </c>
      <c r="K111" s="253"/>
      <c r="L111" s="253"/>
      <c r="M111" s="253"/>
      <c r="N111" s="253"/>
      <c r="O111" s="253"/>
      <c r="P111" s="253"/>
      <c r="Q111" s="253"/>
      <c r="R111" s="253"/>
      <c r="S111" s="253"/>
    </row>
    <row r="112" spans="1:61" s="2" customFormat="1" ht="33.75" customHeight="1" x14ac:dyDescent="0.2">
      <c r="A112" s="462"/>
      <c r="B112" s="482"/>
      <c r="C112" s="12" t="s">
        <v>21</v>
      </c>
      <c r="D112" s="379" t="s">
        <v>19</v>
      </c>
      <c r="E112" s="13">
        <f>214.47*1.055</f>
        <v>226.27</v>
      </c>
      <c r="F112" s="96">
        <f t="shared" si="0"/>
        <v>45.25</v>
      </c>
      <c r="G112" s="96">
        <f t="shared" si="1"/>
        <v>271.52</v>
      </c>
      <c r="H112" s="253"/>
      <c r="I112" s="304">
        <f t="shared" si="2"/>
        <v>40.729999999999997</v>
      </c>
      <c r="J112" s="304">
        <f t="shared" si="3"/>
        <v>267</v>
      </c>
      <c r="K112" s="253"/>
      <c r="L112" s="253"/>
      <c r="M112" s="253"/>
      <c r="N112" s="253"/>
      <c r="O112" s="253"/>
      <c r="P112" s="253"/>
      <c r="Q112" s="253"/>
      <c r="R112" s="253"/>
      <c r="S112" s="253"/>
    </row>
    <row r="113" spans="1:61" s="2" customFormat="1" ht="51" customHeight="1" x14ac:dyDescent="0.2">
      <c r="A113" s="462"/>
      <c r="B113" s="482"/>
      <c r="C113" s="12" t="s">
        <v>22</v>
      </c>
      <c r="D113" s="379" t="s">
        <v>19</v>
      </c>
      <c r="E113" s="13">
        <f>338.07*1.055</f>
        <v>356.66</v>
      </c>
      <c r="F113" s="96">
        <f t="shared" si="0"/>
        <v>71.33</v>
      </c>
      <c r="G113" s="96">
        <f t="shared" si="1"/>
        <v>427.99</v>
      </c>
      <c r="H113" s="253"/>
      <c r="I113" s="304">
        <f t="shared" si="2"/>
        <v>64.2</v>
      </c>
      <c r="J113" s="304">
        <f t="shared" si="3"/>
        <v>420.86</v>
      </c>
      <c r="K113" s="253"/>
      <c r="L113" s="253"/>
      <c r="M113" s="253"/>
      <c r="N113" s="253"/>
      <c r="O113" s="253"/>
      <c r="P113" s="253"/>
      <c r="Q113" s="253"/>
      <c r="R113" s="253"/>
      <c r="S113" s="253"/>
    </row>
    <row r="114" spans="1:61" s="2" customFormat="1" ht="37.5" customHeight="1" x14ac:dyDescent="0.2">
      <c r="A114" s="462"/>
      <c r="B114" s="482"/>
      <c r="C114" s="12" t="s">
        <v>23</v>
      </c>
      <c r="D114" s="379" t="s">
        <v>19</v>
      </c>
      <c r="E114" s="13">
        <f>168.57*1.055</f>
        <v>177.84</v>
      </c>
      <c r="F114" s="96">
        <f t="shared" si="0"/>
        <v>35.57</v>
      </c>
      <c r="G114" s="96">
        <f t="shared" si="1"/>
        <v>213.41</v>
      </c>
      <c r="H114" s="253"/>
      <c r="I114" s="304">
        <f t="shared" si="2"/>
        <v>32.01</v>
      </c>
      <c r="J114" s="304">
        <f t="shared" si="3"/>
        <v>209.85</v>
      </c>
      <c r="K114" s="253"/>
      <c r="L114" s="253"/>
      <c r="M114" s="253"/>
      <c r="N114" s="253"/>
      <c r="O114" s="253"/>
      <c r="P114" s="253"/>
      <c r="Q114" s="253"/>
      <c r="R114" s="253"/>
      <c r="S114" s="253"/>
    </row>
    <row r="115" spans="1:61" s="2" customFormat="1" ht="36.75" customHeight="1" x14ac:dyDescent="0.2">
      <c r="A115" s="462"/>
      <c r="B115" s="482"/>
      <c r="C115" s="16" t="s">
        <v>25</v>
      </c>
      <c r="D115" s="379" t="s">
        <v>19</v>
      </c>
      <c r="E115" s="13">
        <f>148.65*1.055</f>
        <v>156.83000000000001</v>
      </c>
      <c r="F115" s="96">
        <f t="shared" si="0"/>
        <v>31.37</v>
      </c>
      <c r="G115" s="96">
        <f t="shared" si="1"/>
        <v>188.2</v>
      </c>
      <c r="H115" s="253"/>
      <c r="I115" s="304">
        <f t="shared" si="2"/>
        <v>28.23</v>
      </c>
      <c r="J115" s="304">
        <f t="shared" si="3"/>
        <v>185.06</v>
      </c>
      <c r="K115" s="253"/>
      <c r="L115" s="253"/>
      <c r="M115" s="253"/>
      <c r="N115" s="253"/>
      <c r="O115" s="253"/>
      <c r="P115" s="253"/>
      <c r="Q115" s="253"/>
      <c r="R115" s="253"/>
      <c r="S115" s="253"/>
    </row>
    <row r="116" spans="1:61" s="2" customFormat="1" ht="37.5" customHeight="1" x14ac:dyDescent="0.2">
      <c r="A116" s="462" t="s">
        <v>31</v>
      </c>
      <c r="B116" s="481" t="s">
        <v>32</v>
      </c>
      <c r="C116" s="379" t="s">
        <v>16</v>
      </c>
      <c r="D116" s="12" t="s">
        <v>17</v>
      </c>
      <c r="E116" s="13">
        <f>710.9*1.055</f>
        <v>750</v>
      </c>
      <c r="F116" s="96">
        <f t="shared" si="0"/>
        <v>150</v>
      </c>
      <c r="G116" s="96">
        <f t="shared" si="1"/>
        <v>900</v>
      </c>
      <c r="H116" s="253"/>
      <c r="I116" s="304">
        <f t="shared" si="2"/>
        <v>135</v>
      </c>
      <c r="J116" s="304">
        <f t="shared" si="3"/>
        <v>885</v>
      </c>
      <c r="K116" s="253"/>
      <c r="L116" s="253"/>
      <c r="M116" s="253"/>
      <c r="N116" s="253"/>
      <c r="O116" s="253"/>
      <c r="P116" s="253"/>
      <c r="Q116" s="253"/>
      <c r="R116" s="253"/>
      <c r="S116" s="253"/>
      <c r="BH116" s="305">
        <f>680.29*1.045</f>
        <v>710.9</v>
      </c>
      <c r="BI116" s="305">
        <f>BH116-E116</f>
        <v>-39.1</v>
      </c>
    </row>
    <row r="117" spans="1:61" s="2" customFormat="1" ht="17.25" customHeight="1" x14ac:dyDescent="0.2">
      <c r="A117" s="462"/>
      <c r="B117" s="481"/>
      <c r="C117" s="379" t="s">
        <v>28</v>
      </c>
      <c r="D117" s="379" t="s">
        <v>19</v>
      </c>
      <c r="E117" s="13">
        <f>570.17*1.055</f>
        <v>601.53</v>
      </c>
      <c r="F117" s="96">
        <f t="shared" si="0"/>
        <v>120.31</v>
      </c>
      <c r="G117" s="96">
        <f t="shared" si="1"/>
        <v>721.84</v>
      </c>
      <c r="H117" s="253"/>
      <c r="I117" s="304">
        <f t="shared" si="2"/>
        <v>108.28</v>
      </c>
      <c r="J117" s="304">
        <f t="shared" si="3"/>
        <v>709.81</v>
      </c>
      <c r="K117" s="253"/>
      <c r="L117" s="253"/>
      <c r="M117" s="253"/>
      <c r="N117" s="253"/>
      <c r="O117" s="253"/>
      <c r="P117" s="253"/>
      <c r="Q117" s="253"/>
      <c r="R117" s="253"/>
      <c r="S117" s="253"/>
    </row>
    <row r="118" spans="1:61" s="2" customFormat="1" ht="36" customHeight="1" x14ac:dyDescent="0.2">
      <c r="A118" s="462"/>
      <c r="B118" s="481"/>
      <c r="C118" s="12" t="s">
        <v>21</v>
      </c>
      <c r="D118" s="379" t="s">
        <v>19</v>
      </c>
      <c r="E118" s="13">
        <f>214.47*1.055</f>
        <v>226.27</v>
      </c>
      <c r="F118" s="96">
        <f t="shared" si="0"/>
        <v>45.25</v>
      </c>
      <c r="G118" s="96">
        <f t="shared" si="1"/>
        <v>271.52</v>
      </c>
      <c r="H118" s="253"/>
      <c r="I118" s="304">
        <f t="shared" si="2"/>
        <v>40.729999999999997</v>
      </c>
      <c r="J118" s="304">
        <f t="shared" si="3"/>
        <v>267</v>
      </c>
      <c r="K118" s="253"/>
      <c r="L118" s="253"/>
      <c r="M118" s="253"/>
      <c r="N118" s="253"/>
      <c r="O118" s="253"/>
      <c r="P118" s="253"/>
      <c r="Q118" s="253"/>
      <c r="R118" s="253"/>
      <c r="S118" s="253"/>
    </row>
    <row r="119" spans="1:61" s="2" customFormat="1" ht="49.5" customHeight="1" x14ac:dyDescent="0.2">
      <c r="A119" s="462"/>
      <c r="B119" s="481"/>
      <c r="C119" s="12" t="s">
        <v>22</v>
      </c>
      <c r="D119" s="379" t="s">
        <v>19</v>
      </c>
      <c r="E119" s="13">
        <f>338.07*1.055</f>
        <v>356.66</v>
      </c>
      <c r="F119" s="96">
        <f t="shared" si="0"/>
        <v>71.33</v>
      </c>
      <c r="G119" s="96">
        <f t="shared" si="1"/>
        <v>427.99</v>
      </c>
      <c r="H119" s="253"/>
      <c r="I119" s="304">
        <f t="shared" si="2"/>
        <v>64.2</v>
      </c>
      <c r="J119" s="304">
        <f t="shared" si="3"/>
        <v>420.86</v>
      </c>
      <c r="K119" s="253"/>
      <c r="L119" s="253"/>
      <c r="M119" s="253"/>
      <c r="N119" s="253"/>
      <c r="O119" s="253"/>
      <c r="P119" s="253"/>
      <c r="Q119" s="253"/>
      <c r="R119" s="253"/>
      <c r="S119" s="253"/>
    </row>
    <row r="120" spans="1:61" s="2" customFormat="1" ht="36.75" customHeight="1" x14ac:dyDescent="0.2">
      <c r="A120" s="462"/>
      <c r="B120" s="481"/>
      <c r="C120" s="12" t="s">
        <v>23</v>
      </c>
      <c r="D120" s="379" t="s">
        <v>19</v>
      </c>
      <c r="E120" s="13">
        <f>168.57*1.055</f>
        <v>177.84</v>
      </c>
      <c r="F120" s="96">
        <f t="shared" si="0"/>
        <v>35.57</v>
      </c>
      <c r="G120" s="96">
        <f t="shared" si="1"/>
        <v>213.41</v>
      </c>
      <c r="H120" s="253"/>
      <c r="I120" s="304">
        <f t="shared" si="2"/>
        <v>32.01</v>
      </c>
      <c r="J120" s="304">
        <f t="shared" si="3"/>
        <v>209.85</v>
      </c>
      <c r="K120" s="253"/>
      <c r="L120" s="253"/>
      <c r="M120" s="253"/>
      <c r="N120" s="253"/>
      <c r="O120" s="253"/>
      <c r="P120" s="253"/>
      <c r="Q120" s="253"/>
      <c r="R120" s="253"/>
      <c r="S120" s="253"/>
    </row>
    <row r="121" spans="1:61" s="2" customFormat="1" ht="40.5" customHeight="1" x14ac:dyDescent="0.2">
      <c r="A121" s="462"/>
      <c r="B121" s="481"/>
      <c r="C121" s="16" t="s">
        <v>25</v>
      </c>
      <c r="D121" s="379" t="s">
        <v>19</v>
      </c>
      <c r="E121" s="13">
        <f>148.65*1.055</f>
        <v>156.83000000000001</v>
      </c>
      <c r="F121" s="96">
        <f t="shared" si="0"/>
        <v>31.37</v>
      </c>
      <c r="G121" s="96">
        <f t="shared" si="1"/>
        <v>188.2</v>
      </c>
      <c r="H121" s="253"/>
      <c r="I121" s="304">
        <f t="shared" si="2"/>
        <v>28.23</v>
      </c>
      <c r="J121" s="304">
        <f t="shared" si="3"/>
        <v>185.06</v>
      </c>
      <c r="K121" s="253"/>
      <c r="L121" s="253"/>
      <c r="M121" s="253"/>
      <c r="N121" s="253"/>
      <c r="O121" s="253"/>
      <c r="P121" s="253"/>
      <c r="Q121" s="253"/>
      <c r="R121" s="253"/>
      <c r="S121" s="253"/>
    </row>
    <row r="122" spans="1:61" s="2" customFormat="1" ht="40.5" customHeight="1" x14ac:dyDescent="0.2">
      <c r="A122" s="462" t="s">
        <v>33</v>
      </c>
      <c r="B122" s="481" t="s">
        <v>34</v>
      </c>
      <c r="C122" s="379" t="s">
        <v>16</v>
      </c>
      <c r="D122" s="12" t="s">
        <v>17</v>
      </c>
      <c r="E122" s="13">
        <f>612.26*1.055</f>
        <v>645.92999999999995</v>
      </c>
      <c r="F122" s="96">
        <f t="shared" si="0"/>
        <v>129.19</v>
      </c>
      <c r="G122" s="96">
        <f t="shared" si="1"/>
        <v>775.12</v>
      </c>
      <c r="H122" s="253"/>
      <c r="I122" s="304">
        <f t="shared" si="2"/>
        <v>116.27</v>
      </c>
      <c r="J122" s="304">
        <f t="shared" si="3"/>
        <v>762.2</v>
      </c>
      <c r="K122" s="253"/>
      <c r="L122" s="253"/>
      <c r="M122" s="253"/>
      <c r="N122" s="253"/>
      <c r="O122" s="253"/>
      <c r="P122" s="253"/>
      <c r="Q122" s="253"/>
      <c r="R122" s="253"/>
      <c r="S122" s="253"/>
    </row>
    <row r="123" spans="1:61" s="2" customFormat="1" ht="18" customHeight="1" x14ac:dyDescent="0.2">
      <c r="A123" s="462"/>
      <c r="B123" s="481"/>
      <c r="C123" s="379" t="s">
        <v>28</v>
      </c>
      <c r="D123" s="379" t="s">
        <v>19</v>
      </c>
      <c r="E123" s="13">
        <f>513.15*1.055</f>
        <v>541.37</v>
      </c>
      <c r="F123" s="96">
        <f t="shared" si="0"/>
        <v>108.27</v>
      </c>
      <c r="G123" s="96">
        <f t="shared" si="1"/>
        <v>649.64</v>
      </c>
      <c r="H123" s="253"/>
      <c r="I123" s="304">
        <f t="shared" si="2"/>
        <v>97.45</v>
      </c>
      <c r="J123" s="304">
        <f t="shared" si="3"/>
        <v>638.82000000000005</v>
      </c>
      <c r="K123" s="253"/>
      <c r="L123" s="253"/>
      <c r="M123" s="253"/>
      <c r="N123" s="253"/>
      <c r="O123" s="253"/>
      <c r="P123" s="253"/>
      <c r="Q123" s="253"/>
      <c r="R123" s="253"/>
      <c r="S123" s="253"/>
    </row>
    <row r="124" spans="1:61" s="2" customFormat="1" ht="36" customHeight="1" x14ac:dyDescent="0.2">
      <c r="A124" s="462"/>
      <c r="B124" s="481"/>
      <c r="C124" s="12" t="s">
        <v>21</v>
      </c>
      <c r="D124" s="379" t="s">
        <v>19</v>
      </c>
      <c r="E124" s="13">
        <f>214.47*1.055</f>
        <v>226.27</v>
      </c>
      <c r="F124" s="96">
        <f t="shared" si="0"/>
        <v>45.25</v>
      </c>
      <c r="G124" s="96">
        <f t="shared" si="1"/>
        <v>271.52</v>
      </c>
      <c r="H124" s="253"/>
      <c r="I124" s="304">
        <f t="shared" si="2"/>
        <v>40.729999999999997</v>
      </c>
      <c r="J124" s="304">
        <f t="shared" si="3"/>
        <v>267</v>
      </c>
      <c r="K124" s="253"/>
      <c r="L124" s="253"/>
      <c r="M124" s="253"/>
      <c r="N124" s="253"/>
      <c r="O124" s="253"/>
      <c r="P124" s="253"/>
      <c r="Q124" s="253"/>
      <c r="R124" s="253"/>
      <c r="S124" s="253"/>
    </row>
    <row r="125" spans="1:61" s="2" customFormat="1" ht="51.75" customHeight="1" x14ac:dyDescent="0.2">
      <c r="A125" s="462"/>
      <c r="B125" s="481"/>
      <c r="C125" s="12" t="s">
        <v>22</v>
      </c>
      <c r="D125" s="379" t="s">
        <v>19</v>
      </c>
      <c r="E125" s="13">
        <f>338.07*1.055</f>
        <v>356.66</v>
      </c>
      <c r="F125" s="96">
        <f t="shared" si="0"/>
        <v>71.33</v>
      </c>
      <c r="G125" s="96">
        <f t="shared" si="1"/>
        <v>427.99</v>
      </c>
      <c r="H125" s="253"/>
      <c r="I125" s="304">
        <f t="shared" si="2"/>
        <v>64.2</v>
      </c>
      <c r="J125" s="304">
        <f t="shared" si="3"/>
        <v>420.86</v>
      </c>
      <c r="K125" s="253"/>
      <c r="L125" s="253"/>
      <c r="M125" s="253"/>
      <c r="N125" s="253"/>
      <c r="O125" s="253"/>
      <c r="P125" s="253"/>
      <c r="Q125" s="253"/>
      <c r="R125" s="253"/>
      <c r="S125" s="253"/>
    </row>
    <row r="126" spans="1:61" s="2" customFormat="1" ht="39" customHeight="1" x14ac:dyDescent="0.2">
      <c r="A126" s="462"/>
      <c r="B126" s="481"/>
      <c r="C126" s="12" t="s">
        <v>23</v>
      </c>
      <c r="D126" s="379" t="s">
        <v>19</v>
      </c>
      <c r="E126" s="13">
        <f>168.57*1.055</f>
        <v>177.84</v>
      </c>
      <c r="F126" s="96">
        <f t="shared" si="0"/>
        <v>35.57</v>
      </c>
      <c r="G126" s="96">
        <f t="shared" si="1"/>
        <v>213.41</v>
      </c>
      <c r="H126" s="253"/>
      <c r="I126" s="304">
        <f t="shared" si="2"/>
        <v>32.01</v>
      </c>
      <c r="J126" s="304">
        <f t="shared" si="3"/>
        <v>209.85</v>
      </c>
      <c r="K126" s="253"/>
      <c r="L126" s="253"/>
      <c r="M126" s="253"/>
      <c r="N126" s="253"/>
      <c r="O126" s="253"/>
      <c r="P126" s="253"/>
      <c r="Q126" s="253"/>
      <c r="R126" s="253"/>
      <c r="S126" s="253"/>
    </row>
    <row r="127" spans="1:61" s="2" customFormat="1" ht="39" customHeight="1" x14ac:dyDescent="0.2">
      <c r="A127" s="462"/>
      <c r="B127" s="481"/>
      <c r="C127" s="16" t="s">
        <v>25</v>
      </c>
      <c r="D127" s="379" t="s">
        <v>19</v>
      </c>
      <c r="E127" s="13">
        <f>148.65*1.055</f>
        <v>156.83000000000001</v>
      </c>
      <c r="F127" s="96">
        <f t="shared" si="0"/>
        <v>31.37</v>
      </c>
      <c r="G127" s="96">
        <f t="shared" si="1"/>
        <v>188.2</v>
      </c>
      <c r="H127" s="253"/>
      <c r="I127" s="304">
        <f t="shared" si="2"/>
        <v>28.23</v>
      </c>
      <c r="J127" s="304">
        <f t="shared" si="3"/>
        <v>185.06</v>
      </c>
      <c r="K127" s="253"/>
      <c r="L127" s="253"/>
      <c r="M127" s="253"/>
      <c r="N127" s="253"/>
      <c r="O127" s="253"/>
      <c r="P127" s="253"/>
      <c r="Q127" s="253"/>
      <c r="R127" s="253"/>
      <c r="S127" s="253"/>
    </row>
    <row r="128" spans="1:61" s="2" customFormat="1" ht="38.25" customHeight="1" x14ac:dyDescent="0.2">
      <c r="A128" s="462" t="s">
        <v>35</v>
      </c>
      <c r="B128" s="481" t="s">
        <v>36</v>
      </c>
      <c r="C128" s="379" t="s">
        <v>16</v>
      </c>
      <c r="D128" s="12" t="s">
        <v>17</v>
      </c>
      <c r="E128" s="13">
        <f>646.28*1.055</f>
        <v>681.83</v>
      </c>
      <c r="F128" s="96">
        <f t="shared" si="0"/>
        <v>136.37</v>
      </c>
      <c r="G128" s="96">
        <f t="shared" si="1"/>
        <v>818.2</v>
      </c>
      <c r="H128" s="253"/>
      <c r="I128" s="304">
        <f t="shared" si="2"/>
        <v>122.73</v>
      </c>
      <c r="J128" s="304">
        <f t="shared" si="3"/>
        <v>804.56</v>
      </c>
      <c r="K128" s="253"/>
      <c r="L128" s="253"/>
      <c r="M128" s="253"/>
      <c r="N128" s="253"/>
      <c r="O128" s="253"/>
      <c r="P128" s="253"/>
      <c r="Q128" s="253"/>
      <c r="R128" s="253"/>
      <c r="S128" s="253"/>
    </row>
    <row r="129" spans="1:19" s="2" customFormat="1" ht="17.25" customHeight="1" x14ac:dyDescent="0.2">
      <c r="A129" s="462"/>
      <c r="B129" s="481"/>
      <c r="C129" s="379" t="s">
        <v>28</v>
      </c>
      <c r="D129" s="379" t="s">
        <v>19</v>
      </c>
      <c r="E129" s="13">
        <f>541.66*1.055</f>
        <v>571.45000000000005</v>
      </c>
      <c r="F129" s="96">
        <f t="shared" si="0"/>
        <v>114.29</v>
      </c>
      <c r="G129" s="96">
        <f t="shared" si="1"/>
        <v>685.74</v>
      </c>
      <c r="H129" s="253"/>
      <c r="I129" s="304">
        <f t="shared" si="2"/>
        <v>102.86</v>
      </c>
      <c r="J129" s="304">
        <f t="shared" si="3"/>
        <v>674.31</v>
      </c>
      <c r="K129" s="253"/>
      <c r="L129" s="253"/>
      <c r="M129" s="253"/>
      <c r="N129" s="253"/>
      <c r="O129" s="253"/>
      <c r="P129" s="253"/>
      <c r="Q129" s="253"/>
      <c r="R129" s="253"/>
      <c r="S129" s="253"/>
    </row>
    <row r="130" spans="1:19" s="2" customFormat="1" ht="38.25" customHeight="1" x14ac:dyDescent="0.2">
      <c r="A130" s="462"/>
      <c r="B130" s="481"/>
      <c r="C130" s="12" t="s">
        <v>21</v>
      </c>
      <c r="D130" s="379" t="s">
        <v>19</v>
      </c>
      <c r="E130" s="13">
        <f>214.47*1.055</f>
        <v>226.27</v>
      </c>
      <c r="F130" s="96">
        <f t="shared" si="0"/>
        <v>45.25</v>
      </c>
      <c r="G130" s="96">
        <f t="shared" si="1"/>
        <v>271.52</v>
      </c>
      <c r="H130" s="253"/>
      <c r="I130" s="304">
        <f t="shared" si="2"/>
        <v>40.729999999999997</v>
      </c>
      <c r="J130" s="304">
        <f t="shared" si="3"/>
        <v>267</v>
      </c>
      <c r="K130" s="253"/>
      <c r="L130" s="253"/>
      <c r="M130" s="253"/>
      <c r="N130" s="253"/>
      <c r="O130" s="253"/>
      <c r="P130" s="253"/>
      <c r="Q130" s="253"/>
      <c r="R130" s="253"/>
      <c r="S130" s="253"/>
    </row>
    <row r="131" spans="1:19" s="2" customFormat="1" ht="48" customHeight="1" x14ac:dyDescent="0.2">
      <c r="A131" s="462"/>
      <c r="B131" s="481"/>
      <c r="C131" s="12" t="s">
        <v>22</v>
      </c>
      <c r="D131" s="379" t="s">
        <v>19</v>
      </c>
      <c r="E131" s="13">
        <f>338.07*1.055</f>
        <v>356.66</v>
      </c>
      <c r="F131" s="96">
        <f t="shared" si="0"/>
        <v>71.33</v>
      </c>
      <c r="G131" s="96">
        <f t="shared" si="1"/>
        <v>427.99</v>
      </c>
      <c r="H131" s="253"/>
      <c r="I131" s="304">
        <f t="shared" si="2"/>
        <v>64.2</v>
      </c>
      <c r="J131" s="304">
        <f t="shared" si="3"/>
        <v>420.86</v>
      </c>
      <c r="K131" s="253"/>
      <c r="L131" s="253"/>
      <c r="M131" s="253"/>
      <c r="N131" s="253"/>
      <c r="O131" s="253"/>
      <c r="P131" s="253"/>
      <c r="Q131" s="253"/>
      <c r="R131" s="253"/>
      <c r="S131" s="253"/>
    </row>
    <row r="132" spans="1:19" s="2" customFormat="1" ht="38.25" customHeight="1" x14ac:dyDescent="0.2">
      <c r="A132" s="462"/>
      <c r="B132" s="481"/>
      <c r="C132" s="12" t="s">
        <v>23</v>
      </c>
      <c r="D132" s="379" t="s">
        <v>19</v>
      </c>
      <c r="E132" s="13">
        <f>168.57*1.055</f>
        <v>177.84</v>
      </c>
      <c r="F132" s="96">
        <f t="shared" si="0"/>
        <v>35.57</v>
      </c>
      <c r="G132" s="96">
        <f t="shared" si="1"/>
        <v>213.41</v>
      </c>
      <c r="H132" s="253"/>
      <c r="I132" s="304">
        <f t="shared" si="2"/>
        <v>32.01</v>
      </c>
      <c r="J132" s="304">
        <f t="shared" si="3"/>
        <v>209.85</v>
      </c>
      <c r="K132" s="253"/>
      <c r="L132" s="253"/>
      <c r="M132" s="253"/>
      <c r="N132" s="253"/>
      <c r="O132" s="253"/>
      <c r="P132" s="253"/>
      <c r="Q132" s="253"/>
      <c r="R132" s="253"/>
      <c r="S132" s="253"/>
    </row>
    <row r="133" spans="1:19" s="2" customFormat="1" ht="38.25" customHeight="1" x14ac:dyDescent="0.2">
      <c r="A133" s="462"/>
      <c r="B133" s="481"/>
      <c r="C133" s="16" t="s">
        <v>25</v>
      </c>
      <c r="D133" s="379" t="s">
        <v>19</v>
      </c>
      <c r="E133" s="13">
        <f>148.65*1.055</f>
        <v>156.83000000000001</v>
      </c>
      <c r="F133" s="96">
        <f t="shared" si="0"/>
        <v>31.37</v>
      </c>
      <c r="G133" s="96">
        <f t="shared" si="1"/>
        <v>188.2</v>
      </c>
      <c r="H133" s="253"/>
      <c r="I133" s="304">
        <f t="shared" si="2"/>
        <v>28.23</v>
      </c>
      <c r="J133" s="304">
        <f t="shared" si="3"/>
        <v>185.06</v>
      </c>
      <c r="K133" s="253"/>
      <c r="L133" s="253"/>
      <c r="M133" s="253"/>
      <c r="N133" s="253"/>
      <c r="O133" s="253"/>
      <c r="P133" s="253"/>
      <c r="Q133" s="253"/>
      <c r="R133" s="253"/>
      <c r="S133" s="253"/>
    </row>
    <row r="134" spans="1:19" s="2" customFormat="1" ht="39" customHeight="1" x14ac:dyDescent="0.2">
      <c r="A134" s="462" t="s">
        <v>37</v>
      </c>
      <c r="B134" s="481" t="s">
        <v>38</v>
      </c>
      <c r="C134" s="379" t="s">
        <v>16</v>
      </c>
      <c r="D134" s="12" t="s">
        <v>17</v>
      </c>
      <c r="E134" s="13">
        <f>1494.56*1.055</f>
        <v>1576.76</v>
      </c>
      <c r="F134" s="96">
        <f t="shared" si="0"/>
        <v>315.35000000000002</v>
      </c>
      <c r="G134" s="96">
        <f t="shared" si="1"/>
        <v>1892.11</v>
      </c>
      <c r="H134" s="253"/>
      <c r="I134" s="304">
        <f t="shared" si="2"/>
        <v>283.82</v>
      </c>
      <c r="J134" s="304">
        <f t="shared" si="3"/>
        <v>1860.58</v>
      </c>
      <c r="K134" s="253"/>
      <c r="L134" s="253"/>
      <c r="M134" s="253"/>
      <c r="N134" s="253"/>
      <c r="O134" s="253"/>
      <c r="P134" s="253"/>
      <c r="Q134" s="253"/>
      <c r="R134" s="253"/>
      <c r="S134" s="253"/>
    </row>
    <row r="135" spans="1:19" s="2" customFormat="1" ht="17.25" customHeight="1" x14ac:dyDescent="0.2">
      <c r="A135" s="462"/>
      <c r="B135" s="481"/>
      <c r="C135" s="379" t="s">
        <v>28</v>
      </c>
      <c r="D135" s="379" t="s">
        <v>19</v>
      </c>
      <c r="E135" s="13">
        <f>1090*1.055</f>
        <v>1149.95</v>
      </c>
      <c r="F135" s="96">
        <f t="shared" si="0"/>
        <v>229.99</v>
      </c>
      <c r="G135" s="96">
        <f t="shared" si="1"/>
        <v>1379.94</v>
      </c>
      <c r="H135" s="253"/>
      <c r="I135" s="304">
        <f t="shared" si="2"/>
        <v>206.99</v>
      </c>
      <c r="J135" s="304">
        <f t="shared" si="3"/>
        <v>1356.94</v>
      </c>
      <c r="K135" s="253"/>
      <c r="L135" s="253"/>
      <c r="M135" s="253"/>
      <c r="N135" s="253"/>
      <c r="O135" s="253"/>
      <c r="P135" s="253"/>
      <c r="Q135" s="253"/>
      <c r="R135" s="253"/>
      <c r="S135" s="253"/>
    </row>
    <row r="136" spans="1:19" s="2" customFormat="1" ht="42" customHeight="1" x14ac:dyDescent="0.2">
      <c r="A136" s="462"/>
      <c r="B136" s="481"/>
      <c r="C136" s="12" t="s">
        <v>21</v>
      </c>
      <c r="D136" s="379" t="s">
        <v>19</v>
      </c>
      <c r="E136" s="13">
        <f>214.47*1.055</f>
        <v>226.27</v>
      </c>
      <c r="F136" s="96">
        <f t="shared" si="0"/>
        <v>45.25</v>
      </c>
      <c r="G136" s="96">
        <f t="shared" si="1"/>
        <v>271.52</v>
      </c>
      <c r="H136" s="253"/>
      <c r="I136" s="304">
        <f t="shared" si="2"/>
        <v>40.729999999999997</v>
      </c>
      <c r="J136" s="304">
        <f t="shared" si="3"/>
        <v>267</v>
      </c>
      <c r="K136" s="253"/>
      <c r="L136" s="253"/>
      <c r="M136" s="253"/>
      <c r="N136" s="253"/>
      <c r="O136" s="253"/>
      <c r="P136" s="253"/>
      <c r="Q136" s="253"/>
      <c r="R136" s="253"/>
      <c r="S136" s="253"/>
    </row>
    <row r="137" spans="1:19" s="2" customFormat="1" ht="48" customHeight="1" x14ac:dyDescent="0.2">
      <c r="A137" s="462"/>
      <c r="B137" s="481"/>
      <c r="C137" s="12" t="s">
        <v>22</v>
      </c>
      <c r="D137" s="379" t="s">
        <v>19</v>
      </c>
      <c r="E137" s="13">
        <f>608.52*1.055</f>
        <v>641.99</v>
      </c>
      <c r="F137" s="96">
        <f t="shared" si="0"/>
        <v>128.4</v>
      </c>
      <c r="G137" s="96">
        <f t="shared" si="1"/>
        <v>770.39</v>
      </c>
      <c r="H137" s="253"/>
      <c r="I137" s="304">
        <f t="shared" si="2"/>
        <v>115.56</v>
      </c>
      <c r="J137" s="304">
        <f t="shared" si="3"/>
        <v>757.55</v>
      </c>
      <c r="K137" s="253"/>
      <c r="L137" s="253"/>
      <c r="M137" s="253"/>
      <c r="N137" s="253"/>
      <c r="O137" s="253"/>
      <c r="P137" s="253"/>
      <c r="Q137" s="253"/>
      <c r="R137" s="253"/>
      <c r="S137" s="253"/>
    </row>
    <row r="138" spans="1:19" s="2" customFormat="1" ht="38.25" customHeight="1" x14ac:dyDescent="0.2">
      <c r="A138" s="462"/>
      <c r="B138" s="481"/>
      <c r="C138" s="16" t="s">
        <v>25</v>
      </c>
      <c r="D138" s="379" t="s">
        <v>19</v>
      </c>
      <c r="E138" s="13">
        <f>148.65*1.055</f>
        <v>156.83000000000001</v>
      </c>
      <c r="F138" s="96">
        <f t="shared" si="0"/>
        <v>31.37</v>
      </c>
      <c r="G138" s="96">
        <f t="shared" si="1"/>
        <v>188.2</v>
      </c>
      <c r="H138" s="253"/>
      <c r="I138" s="304">
        <f t="shared" si="2"/>
        <v>28.23</v>
      </c>
      <c r="J138" s="304">
        <f t="shared" si="3"/>
        <v>185.06</v>
      </c>
      <c r="K138" s="253"/>
      <c r="L138" s="253"/>
      <c r="M138" s="253"/>
      <c r="N138" s="253"/>
      <c r="O138" s="253"/>
      <c r="P138" s="253"/>
      <c r="Q138" s="253"/>
      <c r="R138" s="253"/>
      <c r="S138" s="253"/>
    </row>
    <row r="139" spans="1:19" s="2" customFormat="1" ht="39.75" customHeight="1" x14ac:dyDescent="0.2">
      <c r="A139" s="462" t="s">
        <v>39</v>
      </c>
      <c r="B139" s="481" t="s">
        <v>40</v>
      </c>
      <c r="C139" s="379" t="s">
        <v>16</v>
      </c>
      <c r="D139" s="12" t="s">
        <v>17</v>
      </c>
      <c r="E139" s="13">
        <f>1002.55*1.055</f>
        <v>1057.69</v>
      </c>
      <c r="F139" s="96">
        <f t="shared" si="0"/>
        <v>211.54</v>
      </c>
      <c r="G139" s="96">
        <f t="shared" si="1"/>
        <v>1269.23</v>
      </c>
      <c r="H139" s="253"/>
      <c r="I139" s="304">
        <f t="shared" si="2"/>
        <v>190.38</v>
      </c>
      <c r="J139" s="304">
        <f t="shared" si="3"/>
        <v>1248.07</v>
      </c>
      <c r="K139" s="253"/>
      <c r="L139" s="253"/>
      <c r="M139" s="253"/>
      <c r="N139" s="253"/>
      <c r="O139" s="253"/>
      <c r="P139" s="253"/>
      <c r="Q139" s="253"/>
      <c r="R139" s="253"/>
      <c r="S139" s="253"/>
    </row>
    <row r="140" spans="1:19" s="2" customFormat="1" ht="15.6" customHeight="1" x14ac:dyDescent="0.2">
      <c r="A140" s="462"/>
      <c r="B140" s="481"/>
      <c r="C140" s="379" t="s">
        <v>28</v>
      </c>
      <c r="D140" s="379" t="s">
        <v>19</v>
      </c>
      <c r="E140" s="13">
        <f>727.62*1.055</f>
        <v>767.64</v>
      </c>
      <c r="F140" s="96">
        <f t="shared" si="0"/>
        <v>153.53</v>
      </c>
      <c r="G140" s="96">
        <f t="shared" si="1"/>
        <v>921.17</v>
      </c>
      <c r="H140" s="253"/>
      <c r="I140" s="304">
        <f t="shared" si="2"/>
        <v>138.18</v>
      </c>
      <c r="J140" s="304">
        <f t="shared" si="3"/>
        <v>905.82</v>
      </c>
      <c r="K140" s="253"/>
      <c r="L140" s="253"/>
      <c r="M140" s="253"/>
      <c r="N140" s="253"/>
      <c r="O140" s="253"/>
      <c r="P140" s="253"/>
      <c r="Q140" s="253"/>
      <c r="R140" s="253"/>
      <c r="S140" s="253"/>
    </row>
    <row r="141" spans="1:19" s="2" customFormat="1" ht="38.25" customHeight="1" x14ac:dyDescent="0.2">
      <c r="A141" s="462"/>
      <c r="B141" s="481"/>
      <c r="C141" s="12" t="s">
        <v>21</v>
      </c>
      <c r="D141" s="379" t="s">
        <v>19</v>
      </c>
      <c r="E141" s="13">
        <f>214.47*1.055</f>
        <v>226.27</v>
      </c>
      <c r="F141" s="96">
        <f t="shared" si="0"/>
        <v>45.25</v>
      </c>
      <c r="G141" s="96">
        <f t="shared" si="1"/>
        <v>271.52</v>
      </c>
      <c r="H141" s="253"/>
      <c r="I141" s="304">
        <f t="shared" si="2"/>
        <v>40.729999999999997</v>
      </c>
      <c r="J141" s="304">
        <f t="shared" si="3"/>
        <v>267</v>
      </c>
      <c r="K141" s="253"/>
      <c r="L141" s="253"/>
      <c r="M141" s="253"/>
      <c r="N141" s="253"/>
      <c r="O141" s="253"/>
      <c r="P141" s="253"/>
      <c r="Q141" s="253"/>
      <c r="R141" s="253"/>
      <c r="S141" s="253"/>
    </row>
    <row r="142" spans="1:19" s="2" customFormat="1" ht="48" customHeight="1" x14ac:dyDescent="0.2">
      <c r="A142" s="462"/>
      <c r="B142" s="481"/>
      <c r="C142" s="12" t="s">
        <v>22</v>
      </c>
      <c r="D142" s="379" t="s">
        <v>19</v>
      </c>
      <c r="E142" s="13">
        <f>608.52*1.055</f>
        <v>641.99</v>
      </c>
      <c r="F142" s="96">
        <f t="shared" si="0"/>
        <v>128.4</v>
      </c>
      <c r="G142" s="96">
        <f t="shared" si="1"/>
        <v>770.39</v>
      </c>
      <c r="H142" s="253"/>
      <c r="I142" s="304">
        <f t="shared" si="2"/>
        <v>115.56</v>
      </c>
      <c r="J142" s="304">
        <f t="shared" si="3"/>
        <v>757.55</v>
      </c>
      <c r="K142" s="253"/>
      <c r="L142" s="253"/>
      <c r="M142" s="253"/>
      <c r="N142" s="253"/>
      <c r="O142" s="253"/>
      <c r="P142" s="253"/>
      <c r="Q142" s="253"/>
      <c r="R142" s="253"/>
      <c r="S142" s="253"/>
    </row>
    <row r="143" spans="1:19" s="2" customFormat="1" ht="36.75" customHeight="1" x14ac:dyDescent="0.2">
      <c r="A143" s="462"/>
      <c r="B143" s="481"/>
      <c r="C143" s="12" t="s">
        <v>23</v>
      </c>
      <c r="D143" s="379" t="s">
        <v>19</v>
      </c>
      <c r="E143" s="13">
        <f>168.57*1.055</f>
        <v>177.84</v>
      </c>
      <c r="F143" s="96">
        <f t="shared" si="0"/>
        <v>35.57</v>
      </c>
      <c r="G143" s="96">
        <f t="shared" si="1"/>
        <v>213.41</v>
      </c>
      <c r="H143" s="253"/>
      <c r="I143" s="304">
        <f t="shared" si="2"/>
        <v>32.01</v>
      </c>
      <c r="J143" s="304">
        <f t="shared" si="3"/>
        <v>209.85</v>
      </c>
      <c r="K143" s="253"/>
      <c r="L143" s="253"/>
      <c r="M143" s="253"/>
      <c r="N143" s="253"/>
      <c r="O143" s="253"/>
      <c r="P143" s="253"/>
      <c r="Q143" s="253"/>
      <c r="R143" s="253"/>
      <c r="S143" s="253"/>
    </row>
    <row r="144" spans="1:19" s="2" customFormat="1" ht="42" customHeight="1" x14ac:dyDescent="0.2">
      <c r="A144" s="462"/>
      <c r="B144" s="481"/>
      <c r="C144" s="16" t="s">
        <v>25</v>
      </c>
      <c r="D144" s="379" t="s">
        <v>19</v>
      </c>
      <c r="E144" s="13">
        <f>148.65*1.055</f>
        <v>156.83000000000001</v>
      </c>
      <c r="F144" s="96">
        <f t="shared" si="0"/>
        <v>31.37</v>
      </c>
      <c r="G144" s="96">
        <f t="shared" si="1"/>
        <v>188.2</v>
      </c>
      <c r="H144" s="253"/>
      <c r="I144" s="304">
        <f t="shared" si="2"/>
        <v>28.23</v>
      </c>
      <c r="J144" s="304">
        <f t="shared" si="3"/>
        <v>185.06</v>
      </c>
      <c r="K144" s="253"/>
      <c r="L144" s="253"/>
      <c r="M144" s="253"/>
      <c r="N144" s="253"/>
      <c r="O144" s="253"/>
      <c r="P144" s="253"/>
      <c r="Q144" s="253"/>
      <c r="R144" s="253"/>
      <c r="S144" s="253"/>
    </row>
    <row r="145" spans="1:22" s="2" customFormat="1" ht="40.5" customHeight="1" x14ac:dyDescent="0.2">
      <c r="A145" s="462" t="s">
        <v>41</v>
      </c>
      <c r="B145" s="481" t="s">
        <v>42</v>
      </c>
      <c r="C145" s="379" t="s">
        <v>16</v>
      </c>
      <c r="D145" s="12" t="s">
        <v>17</v>
      </c>
      <c r="E145" s="13">
        <f>743.53*1.055</f>
        <v>784.42</v>
      </c>
      <c r="F145" s="96">
        <f t="shared" si="0"/>
        <v>156.88</v>
      </c>
      <c r="G145" s="96">
        <f t="shared" si="1"/>
        <v>941.3</v>
      </c>
      <c r="H145" s="253"/>
      <c r="I145" s="304">
        <f t="shared" si="2"/>
        <v>141.19999999999999</v>
      </c>
      <c r="J145" s="304">
        <f t="shared" si="3"/>
        <v>925.62</v>
      </c>
      <c r="K145" s="253"/>
      <c r="L145" s="253"/>
      <c r="M145" s="253"/>
      <c r="N145" s="253"/>
      <c r="O145" s="253"/>
      <c r="P145" s="253"/>
      <c r="Q145" s="253"/>
      <c r="R145" s="253"/>
      <c r="S145" s="253"/>
    </row>
    <row r="146" spans="1:22" s="2" customFormat="1" ht="33.75" customHeight="1" x14ac:dyDescent="0.2">
      <c r="A146" s="462"/>
      <c r="B146" s="481"/>
      <c r="C146" s="379" t="s">
        <v>43</v>
      </c>
      <c r="D146" s="379" t="s">
        <v>19</v>
      </c>
      <c r="E146" s="13">
        <f>440.48*1.055</f>
        <v>464.71</v>
      </c>
      <c r="F146" s="96">
        <f t="shared" si="0"/>
        <v>92.94</v>
      </c>
      <c r="G146" s="96">
        <f t="shared" si="1"/>
        <v>557.65</v>
      </c>
      <c r="H146" s="253"/>
      <c r="I146" s="304">
        <f t="shared" si="2"/>
        <v>83.65</v>
      </c>
      <c r="J146" s="304">
        <f t="shared" si="3"/>
        <v>548.36</v>
      </c>
      <c r="K146" s="253"/>
      <c r="L146" s="253"/>
      <c r="M146" s="253"/>
      <c r="N146" s="253"/>
      <c r="O146" s="253"/>
      <c r="P146" s="253"/>
      <c r="Q146" s="253"/>
      <c r="R146" s="253"/>
      <c r="S146" s="253"/>
    </row>
    <row r="147" spans="1:22" s="2" customFormat="1" ht="41.25" customHeight="1" x14ac:dyDescent="0.2">
      <c r="A147" s="462"/>
      <c r="B147" s="481"/>
      <c r="C147" s="12" t="s">
        <v>21</v>
      </c>
      <c r="D147" s="379" t="s">
        <v>19</v>
      </c>
      <c r="E147" s="13">
        <f>214.47*1.055</f>
        <v>226.27</v>
      </c>
      <c r="F147" s="96">
        <f t="shared" si="0"/>
        <v>45.25</v>
      </c>
      <c r="G147" s="96">
        <f t="shared" si="1"/>
        <v>271.52</v>
      </c>
      <c r="H147" s="253"/>
      <c r="I147" s="304">
        <f t="shared" si="2"/>
        <v>40.729999999999997</v>
      </c>
      <c r="J147" s="304">
        <f t="shared" si="3"/>
        <v>267</v>
      </c>
      <c r="K147" s="253"/>
      <c r="L147" s="253"/>
      <c r="M147" s="253"/>
      <c r="N147" s="253"/>
      <c r="O147" s="253"/>
      <c r="P147" s="253"/>
      <c r="Q147" s="253"/>
      <c r="R147" s="253"/>
      <c r="S147" s="253"/>
    </row>
    <row r="148" spans="1:22" s="2" customFormat="1" ht="49.5" customHeight="1" x14ac:dyDescent="0.2">
      <c r="A148" s="462"/>
      <c r="B148" s="481"/>
      <c r="C148" s="12" t="s">
        <v>22</v>
      </c>
      <c r="D148" s="379" t="s">
        <v>19</v>
      </c>
      <c r="E148" s="13">
        <f>371.88*1.055</f>
        <v>392.33</v>
      </c>
      <c r="F148" s="96">
        <f t="shared" si="0"/>
        <v>78.47</v>
      </c>
      <c r="G148" s="96">
        <f t="shared" si="1"/>
        <v>470.8</v>
      </c>
      <c r="H148" s="253"/>
      <c r="I148" s="304">
        <f t="shared" si="2"/>
        <v>70.62</v>
      </c>
      <c r="J148" s="304">
        <f t="shared" si="3"/>
        <v>462.95</v>
      </c>
      <c r="K148" s="253"/>
      <c r="L148" s="253"/>
      <c r="M148" s="253"/>
      <c r="N148" s="253"/>
      <c r="O148" s="253"/>
      <c r="P148" s="253"/>
      <c r="Q148" s="253"/>
      <c r="R148" s="253"/>
      <c r="S148" s="253"/>
    </row>
    <row r="149" spans="1:22" s="2" customFormat="1" ht="36.75" customHeight="1" x14ac:dyDescent="0.2">
      <c r="A149" s="462"/>
      <c r="B149" s="481"/>
      <c r="C149" s="16" t="s">
        <v>25</v>
      </c>
      <c r="D149" s="379" t="s">
        <v>19</v>
      </c>
      <c r="E149" s="13">
        <f>148.65*1.055</f>
        <v>156.83000000000001</v>
      </c>
      <c r="F149" s="96">
        <f t="shared" si="0"/>
        <v>31.37</v>
      </c>
      <c r="G149" s="96">
        <f t="shared" si="1"/>
        <v>188.2</v>
      </c>
      <c r="H149" s="253"/>
      <c r="I149" s="304">
        <f t="shared" si="2"/>
        <v>28.23</v>
      </c>
      <c r="J149" s="304">
        <f t="shared" si="3"/>
        <v>185.06</v>
      </c>
      <c r="K149" s="253"/>
      <c r="L149" s="253"/>
      <c r="M149" s="253"/>
      <c r="N149" s="253"/>
      <c r="O149" s="253"/>
      <c r="P149" s="253"/>
      <c r="Q149" s="253"/>
      <c r="R149" s="253"/>
      <c r="S149" s="253"/>
    </row>
    <row r="150" spans="1:22" s="2" customFormat="1" ht="39" customHeight="1" x14ac:dyDescent="0.2">
      <c r="A150" s="462" t="s">
        <v>44</v>
      </c>
      <c r="B150" s="481" t="s">
        <v>45</v>
      </c>
      <c r="C150" s="379" t="s">
        <v>16</v>
      </c>
      <c r="D150" s="12" t="s">
        <v>17</v>
      </c>
      <c r="E150" s="13">
        <f>751.02*1.055</f>
        <v>792.33</v>
      </c>
      <c r="F150" s="96">
        <f t="shared" si="0"/>
        <v>158.47</v>
      </c>
      <c r="G150" s="96">
        <f t="shared" si="1"/>
        <v>950.8</v>
      </c>
      <c r="H150" s="253"/>
      <c r="I150" s="304">
        <f t="shared" si="2"/>
        <v>142.62</v>
      </c>
      <c r="J150" s="304">
        <f t="shared" si="3"/>
        <v>934.95</v>
      </c>
      <c r="K150" s="253"/>
      <c r="L150" s="253"/>
      <c r="M150" s="253"/>
      <c r="N150" s="253"/>
      <c r="O150" s="253"/>
      <c r="P150" s="253"/>
      <c r="Q150" s="253"/>
      <c r="R150" s="253"/>
      <c r="S150" s="253"/>
    </row>
    <row r="151" spans="1:22" s="2" customFormat="1" ht="36" customHeight="1" x14ac:dyDescent="0.2">
      <c r="A151" s="462"/>
      <c r="B151" s="481"/>
      <c r="C151" s="379" t="s">
        <v>43</v>
      </c>
      <c r="D151" s="379" t="s">
        <v>19</v>
      </c>
      <c r="E151" s="13">
        <f>440.48*1.055</f>
        <v>464.71</v>
      </c>
      <c r="F151" s="96">
        <f t="shared" si="0"/>
        <v>92.94</v>
      </c>
      <c r="G151" s="96">
        <f t="shared" si="1"/>
        <v>557.65</v>
      </c>
      <c r="H151" s="253"/>
      <c r="I151" s="304">
        <f t="shared" si="2"/>
        <v>83.65</v>
      </c>
      <c r="J151" s="304">
        <f t="shared" si="3"/>
        <v>548.36</v>
      </c>
      <c r="K151" s="253"/>
      <c r="L151" s="253"/>
      <c r="M151" s="253"/>
      <c r="N151" s="253"/>
      <c r="O151" s="253"/>
      <c r="P151" s="253"/>
      <c r="Q151" s="253"/>
      <c r="R151" s="253"/>
      <c r="S151" s="253"/>
    </row>
    <row r="152" spans="1:22" s="2" customFormat="1" ht="39.75" customHeight="1" x14ac:dyDescent="0.2">
      <c r="A152" s="462"/>
      <c r="B152" s="481"/>
      <c r="C152" s="12" t="s">
        <v>21</v>
      </c>
      <c r="D152" s="379" t="s">
        <v>19</v>
      </c>
      <c r="E152" s="13">
        <f>214.47*1.055</f>
        <v>226.27</v>
      </c>
      <c r="F152" s="96">
        <f t="shared" si="0"/>
        <v>45.25</v>
      </c>
      <c r="G152" s="96">
        <f t="shared" si="1"/>
        <v>271.52</v>
      </c>
      <c r="H152" s="253"/>
      <c r="I152" s="304">
        <f t="shared" si="2"/>
        <v>40.729999999999997</v>
      </c>
      <c r="J152" s="304">
        <f t="shared" si="3"/>
        <v>267</v>
      </c>
      <c r="K152" s="253"/>
      <c r="L152" s="253"/>
      <c r="M152" s="253"/>
      <c r="N152" s="253"/>
      <c r="O152" s="253"/>
      <c r="P152" s="253"/>
      <c r="Q152" s="253"/>
      <c r="R152" s="253"/>
      <c r="S152" s="253"/>
    </row>
    <row r="153" spans="1:22" s="2" customFormat="1" ht="51" customHeight="1" x14ac:dyDescent="0.2">
      <c r="A153" s="462"/>
      <c r="B153" s="481"/>
      <c r="C153" s="12" t="s">
        <v>22</v>
      </c>
      <c r="D153" s="379" t="s">
        <v>19</v>
      </c>
      <c r="E153" s="13">
        <f>371.88*1.055</f>
        <v>392.33</v>
      </c>
      <c r="F153" s="96">
        <f t="shared" si="0"/>
        <v>78.47</v>
      </c>
      <c r="G153" s="96">
        <f t="shared" si="1"/>
        <v>470.8</v>
      </c>
      <c r="H153" s="253"/>
      <c r="I153" s="304">
        <f t="shared" si="2"/>
        <v>70.62</v>
      </c>
      <c r="J153" s="304">
        <f t="shared" si="3"/>
        <v>462.95</v>
      </c>
      <c r="K153" s="253"/>
      <c r="L153" s="253"/>
      <c r="M153" s="253"/>
      <c r="N153" s="253"/>
      <c r="O153" s="253"/>
      <c r="P153" s="253"/>
      <c r="Q153" s="253"/>
      <c r="R153" s="253"/>
      <c r="S153" s="253"/>
    </row>
    <row r="154" spans="1:22" s="2" customFormat="1" ht="38.25" customHeight="1" x14ac:dyDescent="0.2">
      <c r="A154" s="462"/>
      <c r="B154" s="481"/>
      <c r="C154" s="16" t="s">
        <v>25</v>
      </c>
      <c r="D154" s="379" t="s">
        <v>19</v>
      </c>
      <c r="E154" s="13">
        <f>148.65*1.055</f>
        <v>156.83000000000001</v>
      </c>
      <c r="F154" s="96">
        <f t="shared" si="0"/>
        <v>31.37</v>
      </c>
      <c r="G154" s="96">
        <f t="shared" si="1"/>
        <v>188.2</v>
      </c>
      <c r="H154" s="253"/>
      <c r="I154" s="304">
        <f t="shared" si="2"/>
        <v>28.23</v>
      </c>
      <c r="J154" s="304">
        <f t="shared" si="3"/>
        <v>185.06</v>
      </c>
      <c r="K154" s="253"/>
      <c r="L154" s="253"/>
      <c r="M154" s="253"/>
      <c r="N154" s="253"/>
      <c r="O154" s="253"/>
      <c r="P154" s="253"/>
      <c r="Q154" s="253"/>
      <c r="R154" s="253"/>
      <c r="S154" s="253"/>
    </row>
    <row r="155" spans="1:22" s="2" customFormat="1" ht="39" customHeight="1" x14ac:dyDescent="0.2">
      <c r="A155" s="462" t="s">
        <v>46</v>
      </c>
      <c r="B155" s="481" t="s">
        <v>47</v>
      </c>
      <c r="C155" s="379" t="s">
        <v>16</v>
      </c>
      <c r="D155" s="12" t="s">
        <v>17</v>
      </c>
      <c r="E155" s="13">
        <f>1216.28*1.055</f>
        <v>1283.18</v>
      </c>
      <c r="F155" s="96">
        <f t="shared" si="0"/>
        <v>256.64</v>
      </c>
      <c r="G155" s="96">
        <f t="shared" si="1"/>
        <v>1539.82</v>
      </c>
      <c r="H155" s="253"/>
      <c r="I155" s="304">
        <f t="shared" si="2"/>
        <v>230.97</v>
      </c>
      <c r="J155" s="304">
        <f t="shared" si="3"/>
        <v>1514.15</v>
      </c>
      <c r="K155" s="253"/>
      <c r="L155" s="253"/>
      <c r="M155" s="253"/>
      <c r="N155" s="253"/>
      <c r="O155" s="253"/>
      <c r="P155" s="253"/>
      <c r="Q155" s="253"/>
      <c r="R155" s="253"/>
      <c r="S155" s="253"/>
      <c r="T155" s="253"/>
      <c r="U155" s="253"/>
      <c r="V155" s="253"/>
    </row>
    <row r="156" spans="1:22" s="2" customFormat="1" ht="17.25" customHeight="1" x14ac:dyDescent="0.2">
      <c r="A156" s="462"/>
      <c r="B156" s="481"/>
      <c r="C156" s="379" t="s">
        <v>28</v>
      </c>
      <c r="D156" s="379" t="s">
        <v>19</v>
      </c>
      <c r="E156" s="13">
        <f>668.17*1.055</f>
        <v>704.92</v>
      </c>
      <c r="F156" s="96">
        <f t="shared" si="0"/>
        <v>140.97999999999999</v>
      </c>
      <c r="G156" s="96">
        <f t="shared" si="1"/>
        <v>845.9</v>
      </c>
      <c r="H156" s="253"/>
      <c r="I156" s="304">
        <f t="shared" si="2"/>
        <v>126.89</v>
      </c>
      <c r="J156" s="304">
        <f t="shared" si="3"/>
        <v>831.81</v>
      </c>
      <c r="K156" s="253"/>
      <c r="L156" s="253"/>
      <c r="M156" s="253"/>
      <c r="N156" s="253"/>
      <c r="O156" s="253"/>
      <c r="P156" s="253"/>
      <c r="Q156" s="253"/>
      <c r="R156" s="253"/>
      <c r="S156" s="253"/>
      <c r="T156" s="253"/>
      <c r="U156" s="253"/>
      <c r="V156" s="253"/>
    </row>
    <row r="157" spans="1:22" s="2" customFormat="1" ht="36.75" customHeight="1" x14ac:dyDescent="0.2">
      <c r="A157" s="462"/>
      <c r="B157" s="481"/>
      <c r="C157" s="12" t="s">
        <v>21</v>
      </c>
      <c r="D157" s="379" t="s">
        <v>19</v>
      </c>
      <c r="E157" s="13">
        <f>214.47*1.055</f>
        <v>226.27</v>
      </c>
      <c r="F157" s="96">
        <f t="shared" si="0"/>
        <v>45.25</v>
      </c>
      <c r="G157" s="96">
        <f t="shared" si="1"/>
        <v>271.52</v>
      </c>
      <c r="H157" s="253"/>
      <c r="I157" s="304">
        <f t="shared" si="2"/>
        <v>40.729999999999997</v>
      </c>
      <c r="J157" s="304">
        <f t="shared" si="3"/>
        <v>267</v>
      </c>
      <c r="K157" s="253"/>
      <c r="L157" s="253"/>
      <c r="M157" s="253"/>
      <c r="N157" s="253"/>
      <c r="O157" s="253"/>
      <c r="P157" s="253"/>
      <c r="Q157" s="253"/>
      <c r="R157" s="253"/>
      <c r="S157" s="253"/>
      <c r="T157" s="253"/>
      <c r="U157" s="253"/>
      <c r="V157" s="253"/>
    </row>
    <row r="158" spans="1:22" s="2" customFormat="1" ht="51" customHeight="1" x14ac:dyDescent="0.2">
      <c r="A158" s="462"/>
      <c r="B158" s="481"/>
      <c r="C158" s="12" t="s">
        <v>22</v>
      </c>
      <c r="D158" s="379" t="s">
        <v>19</v>
      </c>
      <c r="E158" s="13">
        <f>942.4*1.055</f>
        <v>994.23</v>
      </c>
      <c r="F158" s="96">
        <f t="shared" si="0"/>
        <v>198.85</v>
      </c>
      <c r="G158" s="96">
        <f t="shared" si="1"/>
        <v>1193.08</v>
      </c>
      <c r="H158" s="253"/>
      <c r="I158" s="304">
        <f t="shared" si="2"/>
        <v>178.96</v>
      </c>
      <c r="J158" s="304">
        <f t="shared" si="3"/>
        <v>1173.19</v>
      </c>
      <c r="K158" s="253"/>
      <c r="L158" s="253"/>
      <c r="M158" s="253"/>
      <c r="N158" s="253"/>
      <c r="O158" s="253"/>
      <c r="P158" s="253"/>
      <c r="Q158" s="253"/>
      <c r="R158" s="253"/>
      <c r="S158" s="253"/>
      <c r="T158" s="253"/>
      <c r="U158" s="253"/>
      <c r="V158" s="253"/>
    </row>
    <row r="159" spans="1:22" s="2" customFormat="1" ht="42.75" customHeight="1" x14ac:dyDescent="0.2">
      <c r="A159" s="462"/>
      <c r="B159" s="481"/>
      <c r="C159" s="16" t="s">
        <v>25</v>
      </c>
      <c r="D159" s="379" t="s">
        <v>19</v>
      </c>
      <c r="E159" s="13">
        <f>148.65*1.055</f>
        <v>156.83000000000001</v>
      </c>
      <c r="F159" s="96">
        <f t="shared" si="0"/>
        <v>31.37</v>
      </c>
      <c r="G159" s="96">
        <f t="shared" si="1"/>
        <v>188.2</v>
      </c>
      <c r="H159" s="253"/>
      <c r="I159" s="304">
        <f t="shared" si="2"/>
        <v>28.23</v>
      </c>
      <c r="J159" s="304">
        <f t="shared" si="3"/>
        <v>185.06</v>
      </c>
      <c r="K159" s="253"/>
      <c r="L159" s="253"/>
      <c r="M159" s="253"/>
      <c r="N159" s="253"/>
      <c r="O159" s="253"/>
      <c r="P159" s="253"/>
      <c r="Q159" s="253"/>
      <c r="R159" s="253"/>
      <c r="S159" s="253"/>
      <c r="T159" s="253"/>
      <c r="U159" s="253"/>
      <c r="V159" s="253"/>
    </row>
    <row r="160" spans="1:22" s="2" customFormat="1" ht="39" customHeight="1" x14ac:dyDescent="0.2">
      <c r="A160" s="462" t="s">
        <v>48</v>
      </c>
      <c r="B160" s="481" t="s">
        <v>49</v>
      </c>
      <c r="C160" s="379" t="s">
        <v>16</v>
      </c>
      <c r="D160" s="12" t="s">
        <v>17</v>
      </c>
      <c r="E160" s="13">
        <f>653.63*1.055</f>
        <v>689.58</v>
      </c>
      <c r="F160" s="96">
        <f t="shared" si="0"/>
        <v>137.91999999999999</v>
      </c>
      <c r="G160" s="96">
        <f t="shared" si="1"/>
        <v>827.5</v>
      </c>
      <c r="H160" s="253"/>
      <c r="I160" s="304">
        <f t="shared" si="2"/>
        <v>124.12</v>
      </c>
      <c r="J160" s="304">
        <f t="shared" si="3"/>
        <v>813.7</v>
      </c>
      <c r="K160" s="253"/>
      <c r="L160" s="253"/>
      <c r="M160" s="253"/>
      <c r="N160" s="253"/>
      <c r="O160" s="253"/>
      <c r="P160" s="253"/>
      <c r="Q160" s="253"/>
      <c r="R160" s="253"/>
      <c r="S160" s="253"/>
      <c r="T160" s="253"/>
      <c r="U160" s="253"/>
      <c r="V160" s="253"/>
    </row>
    <row r="161" spans="1:19" s="2" customFormat="1" ht="15" customHeight="1" x14ac:dyDescent="0.2">
      <c r="A161" s="462"/>
      <c r="B161" s="481"/>
      <c r="C161" s="379" t="s">
        <v>28</v>
      </c>
      <c r="D161" s="379" t="s">
        <v>19</v>
      </c>
      <c r="E161" s="13">
        <f>541.66*1.055</f>
        <v>571.45000000000005</v>
      </c>
      <c r="F161" s="96">
        <f t="shared" si="0"/>
        <v>114.29</v>
      </c>
      <c r="G161" s="96">
        <f t="shared" si="1"/>
        <v>685.74</v>
      </c>
      <c r="H161" s="253"/>
      <c r="I161" s="304">
        <f t="shared" si="2"/>
        <v>102.86</v>
      </c>
      <c r="J161" s="304">
        <f t="shared" si="3"/>
        <v>674.31</v>
      </c>
      <c r="K161" s="253"/>
      <c r="L161" s="253"/>
      <c r="M161" s="253"/>
      <c r="N161" s="253"/>
      <c r="O161" s="253"/>
      <c r="P161" s="253"/>
      <c r="Q161" s="253"/>
      <c r="R161" s="253"/>
      <c r="S161" s="253"/>
    </row>
    <row r="162" spans="1:19" s="2" customFormat="1" ht="36.75" customHeight="1" x14ac:dyDescent="0.2">
      <c r="A162" s="462"/>
      <c r="B162" s="481"/>
      <c r="C162" s="12" t="s">
        <v>21</v>
      </c>
      <c r="D162" s="379" t="s">
        <v>19</v>
      </c>
      <c r="E162" s="13">
        <f>214.47*1.055</f>
        <v>226.27</v>
      </c>
      <c r="F162" s="96">
        <f t="shared" si="0"/>
        <v>45.25</v>
      </c>
      <c r="G162" s="96">
        <f t="shared" si="1"/>
        <v>271.52</v>
      </c>
      <c r="H162" s="253"/>
      <c r="I162" s="304">
        <f t="shared" si="2"/>
        <v>40.729999999999997</v>
      </c>
      <c r="J162" s="304">
        <f t="shared" si="3"/>
        <v>267</v>
      </c>
      <c r="K162" s="253"/>
      <c r="L162" s="253"/>
      <c r="M162" s="253"/>
      <c r="N162" s="253"/>
      <c r="O162" s="253"/>
      <c r="P162" s="253"/>
      <c r="Q162" s="253"/>
      <c r="R162" s="253"/>
      <c r="S162" s="253"/>
    </row>
    <row r="163" spans="1:19" s="2" customFormat="1" ht="48.75" customHeight="1" x14ac:dyDescent="0.2">
      <c r="A163" s="462"/>
      <c r="B163" s="481"/>
      <c r="C163" s="12" t="s">
        <v>22</v>
      </c>
      <c r="D163" s="379" t="s">
        <v>19</v>
      </c>
      <c r="E163" s="13">
        <f>446.26*1.055</f>
        <v>470.8</v>
      </c>
      <c r="F163" s="96">
        <f t="shared" ref="F163:F220" si="4">E163*20%</f>
        <v>94.16</v>
      </c>
      <c r="G163" s="96">
        <f t="shared" ref="G163:G218" si="5">E163+F163</f>
        <v>564.96</v>
      </c>
      <c r="H163" s="253"/>
      <c r="I163" s="304">
        <f t="shared" ref="I163:I186" si="6">E163*18%</f>
        <v>84.74</v>
      </c>
      <c r="J163" s="304">
        <f t="shared" ref="J163:J186" si="7">E163*1.18</f>
        <v>555.54</v>
      </c>
      <c r="K163" s="253"/>
      <c r="L163" s="253"/>
      <c r="M163" s="253"/>
      <c r="N163" s="253"/>
      <c r="O163" s="253"/>
      <c r="P163" s="253"/>
      <c r="Q163" s="253"/>
      <c r="R163" s="253"/>
      <c r="S163" s="253"/>
    </row>
    <row r="164" spans="1:19" s="2" customFormat="1" ht="38.25" customHeight="1" x14ac:dyDescent="0.2">
      <c r="A164" s="462"/>
      <c r="B164" s="481"/>
      <c r="C164" s="16" t="s">
        <v>25</v>
      </c>
      <c r="D164" s="379" t="s">
        <v>19</v>
      </c>
      <c r="E164" s="13">
        <f>148.65*1.055</f>
        <v>156.83000000000001</v>
      </c>
      <c r="F164" s="96">
        <f t="shared" si="4"/>
        <v>31.37</v>
      </c>
      <c r="G164" s="96">
        <f t="shared" si="5"/>
        <v>188.2</v>
      </c>
      <c r="H164" s="253"/>
      <c r="I164" s="304">
        <f t="shared" si="6"/>
        <v>28.23</v>
      </c>
      <c r="J164" s="304">
        <f t="shared" si="7"/>
        <v>185.06</v>
      </c>
      <c r="K164" s="253"/>
      <c r="L164" s="253"/>
      <c r="M164" s="253"/>
      <c r="N164" s="253"/>
      <c r="O164" s="253"/>
      <c r="P164" s="253"/>
      <c r="Q164" s="253"/>
      <c r="R164" s="253"/>
      <c r="S164" s="253"/>
    </row>
    <row r="165" spans="1:19" s="2" customFormat="1" ht="39" customHeight="1" x14ac:dyDescent="0.2">
      <c r="A165" s="462" t="s">
        <v>50</v>
      </c>
      <c r="B165" s="481" t="s">
        <v>51</v>
      </c>
      <c r="C165" s="379" t="s">
        <v>16</v>
      </c>
      <c r="D165" s="12" t="s">
        <v>17</v>
      </c>
      <c r="E165" s="13">
        <f>737.92*1.055</f>
        <v>778.51</v>
      </c>
      <c r="F165" s="96">
        <f t="shared" si="4"/>
        <v>155.69999999999999</v>
      </c>
      <c r="G165" s="96">
        <f t="shared" si="5"/>
        <v>934.21</v>
      </c>
      <c r="H165" s="253"/>
      <c r="I165" s="304">
        <f t="shared" si="6"/>
        <v>140.13</v>
      </c>
      <c r="J165" s="304">
        <f t="shared" si="7"/>
        <v>918.64</v>
      </c>
      <c r="K165" s="253"/>
      <c r="L165" s="253"/>
      <c r="M165" s="253"/>
      <c r="N165" s="253"/>
      <c r="O165" s="253"/>
      <c r="P165" s="253"/>
      <c r="Q165" s="253"/>
      <c r="R165" s="253"/>
      <c r="S165" s="253"/>
    </row>
    <row r="166" spans="1:19" s="2" customFormat="1" ht="17.25" customHeight="1" x14ac:dyDescent="0.2">
      <c r="A166" s="462"/>
      <c r="B166" s="481"/>
      <c r="C166" s="379" t="s">
        <v>28</v>
      </c>
      <c r="D166" s="379" t="s">
        <v>19</v>
      </c>
      <c r="E166" s="13">
        <f>595.83*1.055</f>
        <v>628.6</v>
      </c>
      <c r="F166" s="96">
        <f t="shared" si="4"/>
        <v>125.72</v>
      </c>
      <c r="G166" s="96">
        <f t="shared" si="5"/>
        <v>754.32</v>
      </c>
      <c r="H166" s="253"/>
      <c r="I166" s="304">
        <f t="shared" si="6"/>
        <v>113.15</v>
      </c>
      <c r="J166" s="304">
        <f t="shared" si="7"/>
        <v>741.75</v>
      </c>
      <c r="K166" s="253"/>
      <c r="L166" s="253"/>
      <c r="M166" s="253"/>
      <c r="N166" s="253"/>
      <c r="O166" s="253"/>
      <c r="P166" s="253"/>
      <c r="Q166" s="253"/>
      <c r="R166" s="253"/>
      <c r="S166" s="253"/>
    </row>
    <row r="167" spans="1:19" s="2" customFormat="1" ht="39" customHeight="1" x14ac:dyDescent="0.2">
      <c r="A167" s="462"/>
      <c r="B167" s="481"/>
      <c r="C167" s="12" t="s">
        <v>21</v>
      </c>
      <c r="D167" s="379" t="s">
        <v>19</v>
      </c>
      <c r="E167" s="13">
        <f>214.47*1.055</f>
        <v>226.27</v>
      </c>
      <c r="F167" s="96">
        <f t="shared" si="4"/>
        <v>45.25</v>
      </c>
      <c r="G167" s="96">
        <f t="shared" si="5"/>
        <v>271.52</v>
      </c>
      <c r="H167" s="253"/>
      <c r="I167" s="304">
        <f t="shared" si="6"/>
        <v>40.729999999999997</v>
      </c>
      <c r="J167" s="304">
        <f t="shared" si="7"/>
        <v>267</v>
      </c>
      <c r="K167" s="253"/>
      <c r="L167" s="253"/>
      <c r="M167" s="253"/>
      <c r="N167" s="253"/>
      <c r="O167" s="253"/>
      <c r="P167" s="253"/>
      <c r="Q167" s="253"/>
      <c r="R167" s="253"/>
      <c r="S167" s="253"/>
    </row>
    <row r="168" spans="1:19" s="2" customFormat="1" ht="55.5" customHeight="1" x14ac:dyDescent="0.2">
      <c r="A168" s="462"/>
      <c r="B168" s="481"/>
      <c r="C168" s="12" t="s">
        <v>22</v>
      </c>
      <c r="D168" s="379" t="s">
        <v>19</v>
      </c>
      <c r="E168" s="13">
        <f>449.98*1.055</f>
        <v>474.73</v>
      </c>
      <c r="F168" s="96">
        <f t="shared" si="4"/>
        <v>94.95</v>
      </c>
      <c r="G168" s="96">
        <f t="shared" si="5"/>
        <v>569.67999999999995</v>
      </c>
      <c r="H168" s="253"/>
      <c r="I168" s="304">
        <f t="shared" si="6"/>
        <v>85.45</v>
      </c>
      <c r="J168" s="304">
        <f t="shared" si="7"/>
        <v>560.17999999999995</v>
      </c>
      <c r="K168" s="253"/>
      <c r="L168" s="253"/>
      <c r="M168" s="253"/>
      <c r="N168" s="253"/>
      <c r="O168" s="253"/>
      <c r="P168" s="253"/>
      <c r="Q168" s="253"/>
      <c r="R168" s="253"/>
      <c r="S168" s="253"/>
    </row>
    <row r="169" spans="1:19" s="2" customFormat="1" ht="39" customHeight="1" x14ac:dyDescent="0.2">
      <c r="A169" s="462" t="s">
        <v>52</v>
      </c>
      <c r="B169" s="481" t="s">
        <v>53</v>
      </c>
      <c r="C169" s="379" t="s">
        <v>16</v>
      </c>
      <c r="D169" s="12" t="s">
        <v>17</v>
      </c>
      <c r="E169" s="13">
        <f>1386.56*1.055</f>
        <v>1462.82</v>
      </c>
      <c r="F169" s="96">
        <f t="shared" si="4"/>
        <v>292.56</v>
      </c>
      <c r="G169" s="96">
        <f t="shared" si="5"/>
        <v>1755.38</v>
      </c>
      <c r="H169" s="253"/>
      <c r="I169" s="304">
        <f t="shared" si="6"/>
        <v>263.31</v>
      </c>
      <c r="J169" s="304">
        <f t="shared" si="7"/>
        <v>1726.13</v>
      </c>
      <c r="K169" s="253"/>
      <c r="L169" s="253"/>
      <c r="M169" s="253"/>
      <c r="N169" s="253"/>
      <c r="O169" s="253"/>
      <c r="P169" s="253"/>
      <c r="Q169" s="253"/>
      <c r="R169" s="253"/>
      <c r="S169" s="253"/>
    </row>
    <row r="170" spans="1:19" s="2" customFormat="1" ht="17.25" customHeight="1" x14ac:dyDescent="0.2">
      <c r="A170" s="462"/>
      <c r="B170" s="481"/>
      <c r="C170" s="379" t="s">
        <v>28</v>
      </c>
      <c r="D170" s="379" t="s">
        <v>19</v>
      </c>
      <c r="E170" s="13">
        <f>762.75*1.055</f>
        <v>804.7</v>
      </c>
      <c r="F170" s="96">
        <f t="shared" si="4"/>
        <v>160.94</v>
      </c>
      <c r="G170" s="96">
        <f t="shared" si="5"/>
        <v>965.64</v>
      </c>
      <c r="H170" s="253"/>
      <c r="I170" s="304">
        <f t="shared" si="6"/>
        <v>144.85</v>
      </c>
      <c r="J170" s="304">
        <f t="shared" si="7"/>
        <v>949.55</v>
      </c>
      <c r="K170" s="253"/>
      <c r="L170" s="253"/>
      <c r="M170" s="253"/>
      <c r="N170" s="253"/>
      <c r="O170" s="253"/>
      <c r="P170" s="253"/>
      <c r="Q170" s="253"/>
      <c r="R170" s="253"/>
      <c r="S170" s="253"/>
    </row>
    <row r="171" spans="1:19" s="2" customFormat="1" ht="37.5" customHeight="1" x14ac:dyDescent="0.2">
      <c r="A171" s="462"/>
      <c r="B171" s="481"/>
      <c r="C171" s="12" t="s">
        <v>21</v>
      </c>
      <c r="D171" s="379" t="s">
        <v>19</v>
      </c>
      <c r="E171" s="13">
        <f>214.47*1.055</f>
        <v>226.27</v>
      </c>
      <c r="F171" s="96">
        <f t="shared" si="4"/>
        <v>45.25</v>
      </c>
      <c r="G171" s="96">
        <f t="shared" si="5"/>
        <v>271.52</v>
      </c>
      <c r="H171" s="253"/>
      <c r="I171" s="304">
        <f t="shared" si="6"/>
        <v>40.729999999999997</v>
      </c>
      <c r="J171" s="304">
        <f t="shared" si="7"/>
        <v>267</v>
      </c>
      <c r="K171" s="253"/>
      <c r="L171" s="253"/>
      <c r="M171" s="253"/>
      <c r="N171" s="253"/>
      <c r="O171" s="253"/>
      <c r="P171" s="253"/>
      <c r="Q171" s="253"/>
      <c r="R171" s="253"/>
      <c r="S171" s="253"/>
    </row>
    <row r="172" spans="1:19" s="2" customFormat="1" ht="49.5" customHeight="1" x14ac:dyDescent="0.2">
      <c r="A172" s="462"/>
      <c r="B172" s="481"/>
      <c r="C172" s="12" t="s">
        <v>22</v>
      </c>
      <c r="D172" s="379" t="s">
        <v>19</v>
      </c>
      <c r="E172" s="13">
        <f>895.28*1.055</f>
        <v>944.52</v>
      </c>
      <c r="F172" s="96">
        <f t="shared" si="4"/>
        <v>188.9</v>
      </c>
      <c r="G172" s="96">
        <f t="shared" si="5"/>
        <v>1133.42</v>
      </c>
      <c r="H172" s="253"/>
      <c r="I172" s="304">
        <f t="shared" si="6"/>
        <v>170.01</v>
      </c>
      <c r="J172" s="304">
        <f t="shared" si="7"/>
        <v>1114.53</v>
      </c>
      <c r="K172" s="253"/>
      <c r="L172" s="253"/>
      <c r="M172" s="253"/>
      <c r="N172" s="253"/>
      <c r="O172" s="253"/>
      <c r="P172" s="253"/>
      <c r="Q172" s="253"/>
      <c r="R172" s="253"/>
      <c r="S172" s="253"/>
    </row>
    <row r="173" spans="1:19" s="2" customFormat="1" ht="39" customHeight="1" x14ac:dyDescent="0.2">
      <c r="A173" s="462"/>
      <c r="B173" s="481"/>
      <c r="C173" s="16" t="s">
        <v>25</v>
      </c>
      <c r="D173" s="379" t="s">
        <v>19</v>
      </c>
      <c r="E173" s="13">
        <f>148.65*1.055</f>
        <v>156.83000000000001</v>
      </c>
      <c r="F173" s="96">
        <f t="shared" si="4"/>
        <v>31.37</v>
      </c>
      <c r="G173" s="96">
        <f t="shared" si="5"/>
        <v>188.2</v>
      </c>
      <c r="H173" s="253"/>
      <c r="I173" s="304">
        <f t="shared" si="6"/>
        <v>28.23</v>
      </c>
      <c r="J173" s="304">
        <f t="shared" si="7"/>
        <v>185.06</v>
      </c>
      <c r="K173" s="253"/>
      <c r="L173" s="253"/>
      <c r="M173" s="253"/>
      <c r="N173" s="253"/>
      <c r="O173" s="253"/>
      <c r="P173" s="253"/>
      <c r="Q173" s="253"/>
      <c r="R173" s="253"/>
      <c r="S173" s="253"/>
    </row>
    <row r="174" spans="1:19" s="2" customFormat="1" ht="41.25" customHeight="1" x14ac:dyDescent="0.2">
      <c r="A174" s="462" t="s">
        <v>54</v>
      </c>
      <c r="B174" s="485" t="s">
        <v>55</v>
      </c>
      <c r="C174" s="379" t="s">
        <v>16</v>
      </c>
      <c r="D174" s="12" t="s">
        <v>17</v>
      </c>
      <c r="E174" s="13">
        <f>1706.19*1.055</f>
        <v>1800.03</v>
      </c>
      <c r="F174" s="96">
        <f t="shared" si="4"/>
        <v>360.01</v>
      </c>
      <c r="G174" s="96">
        <f t="shared" si="5"/>
        <v>2160.04</v>
      </c>
      <c r="H174" s="253"/>
      <c r="I174" s="304">
        <f t="shared" si="6"/>
        <v>324.01</v>
      </c>
      <c r="J174" s="304">
        <f t="shared" si="7"/>
        <v>2124.04</v>
      </c>
      <c r="K174" s="253"/>
      <c r="L174" s="253"/>
      <c r="M174" s="253"/>
      <c r="N174" s="253"/>
      <c r="O174" s="253"/>
      <c r="P174" s="253"/>
      <c r="Q174" s="253"/>
      <c r="R174" s="253"/>
      <c r="S174" s="253"/>
    </row>
    <row r="175" spans="1:19" s="307" customFormat="1" ht="18" customHeight="1" x14ac:dyDescent="0.2">
      <c r="A175" s="462"/>
      <c r="B175" s="485"/>
      <c r="C175" s="379" t="s">
        <v>28</v>
      </c>
      <c r="D175" s="379" t="s">
        <v>19</v>
      </c>
      <c r="E175" s="13">
        <f>828.03*1.055</f>
        <v>873.57</v>
      </c>
      <c r="F175" s="96">
        <f t="shared" si="4"/>
        <v>174.71</v>
      </c>
      <c r="G175" s="96">
        <f t="shared" si="5"/>
        <v>1048.28</v>
      </c>
      <c r="H175" s="303"/>
      <c r="I175" s="304">
        <f t="shared" si="6"/>
        <v>157.24</v>
      </c>
      <c r="J175" s="304">
        <f t="shared" si="7"/>
        <v>1030.81</v>
      </c>
      <c r="K175" s="303"/>
      <c r="L175" s="303"/>
      <c r="M175" s="303"/>
      <c r="N175" s="303"/>
      <c r="O175" s="303"/>
      <c r="P175" s="303"/>
      <c r="Q175" s="303"/>
      <c r="R175" s="303"/>
      <c r="S175" s="303"/>
    </row>
    <row r="176" spans="1:19" s="2" customFormat="1" ht="40.5" customHeight="1" x14ac:dyDescent="0.2">
      <c r="A176" s="462"/>
      <c r="B176" s="485"/>
      <c r="C176" s="12" t="s">
        <v>21</v>
      </c>
      <c r="D176" s="379" t="s">
        <v>19</v>
      </c>
      <c r="E176" s="13">
        <f>214.47*1.055</f>
        <v>226.27</v>
      </c>
      <c r="F176" s="96">
        <f t="shared" si="4"/>
        <v>45.25</v>
      </c>
      <c r="G176" s="96">
        <f t="shared" si="5"/>
        <v>271.52</v>
      </c>
      <c r="H176" s="253"/>
      <c r="I176" s="304">
        <f t="shared" si="6"/>
        <v>40.729999999999997</v>
      </c>
      <c r="J176" s="304">
        <f t="shared" si="7"/>
        <v>267</v>
      </c>
      <c r="K176" s="253"/>
      <c r="L176" s="253"/>
      <c r="M176" s="253"/>
      <c r="N176" s="253"/>
      <c r="O176" s="253"/>
      <c r="P176" s="253"/>
      <c r="Q176" s="253"/>
      <c r="R176" s="253"/>
      <c r="S176" s="253"/>
    </row>
    <row r="177" spans="1:19" s="2" customFormat="1" ht="49.5" customHeight="1" x14ac:dyDescent="0.2">
      <c r="A177" s="462"/>
      <c r="B177" s="485"/>
      <c r="C177" s="12" t="s">
        <v>22</v>
      </c>
      <c r="D177" s="379" t="s">
        <v>19</v>
      </c>
      <c r="E177" s="13">
        <f>1017.34*1.055</f>
        <v>1073.29</v>
      </c>
      <c r="F177" s="96">
        <f t="shared" si="4"/>
        <v>214.66</v>
      </c>
      <c r="G177" s="96">
        <f t="shared" si="5"/>
        <v>1287.95</v>
      </c>
      <c r="H177" s="253"/>
      <c r="I177" s="304">
        <f t="shared" si="6"/>
        <v>193.19</v>
      </c>
      <c r="J177" s="304">
        <f t="shared" si="7"/>
        <v>1266.48</v>
      </c>
      <c r="K177" s="253"/>
      <c r="L177" s="253"/>
      <c r="M177" s="253"/>
      <c r="N177" s="253"/>
      <c r="O177" s="253"/>
      <c r="P177" s="253"/>
      <c r="Q177" s="253"/>
      <c r="R177" s="253"/>
      <c r="S177" s="253"/>
    </row>
    <row r="178" spans="1:19" s="2" customFormat="1" ht="41.25" customHeight="1" x14ac:dyDescent="0.2">
      <c r="A178" s="462"/>
      <c r="B178" s="485"/>
      <c r="C178" s="16" t="s">
        <v>25</v>
      </c>
      <c r="D178" s="379" t="s">
        <v>19</v>
      </c>
      <c r="E178" s="13">
        <f>148.65*1.055</f>
        <v>156.83000000000001</v>
      </c>
      <c r="F178" s="96">
        <f t="shared" si="4"/>
        <v>31.37</v>
      </c>
      <c r="G178" s="96">
        <f t="shared" si="5"/>
        <v>188.2</v>
      </c>
      <c r="H178" s="253"/>
      <c r="I178" s="304">
        <f t="shared" si="6"/>
        <v>28.23</v>
      </c>
      <c r="J178" s="304">
        <f t="shared" si="7"/>
        <v>185.06</v>
      </c>
      <c r="K178" s="253"/>
      <c r="L178" s="253"/>
      <c r="M178" s="253"/>
      <c r="N178" s="253"/>
      <c r="O178" s="253"/>
      <c r="P178" s="253"/>
      <c r="Q178" s="253"/>
      <c r="R178" s="253"/>
      <c r="S178" s="253"/>
    </row>
    <row r="179" spans="1:19" s="2" customFormat="1" ht="40.5" customHeight="1" x14ac:dyDescent="0.2">
      <c r="A179" s="462" t="s">
        <v>56</v>
      </c>
      <c r="B179" s="483" t="s">
        <v>57</v>
      </c>
      <c r="C179" s="379" t="s">
        <v>16</v>
      </c>
      <c r="D179" s="12" t="s">
        <v>17</v>
      </c>
      <c r="E179" s="13">
        <f>737.92*1.055</f>
        <v>778.51</v>
      </c>
      <c r="F179" s="96">
        <f t="shared" si="4"/>
        <v>155.69999999999999</v>
      </c>
      <c r="G179" s="96">
        <f t="shared" si="5"/>
        <v>934.21</v>
      </c>
      <c r="H179" s="253"/>
      <c r="I179" s="304">
        <f t="shared" si="6"/>
        <v>140.13</v>
      </c>
      <c r="J179" s="304">
        <f t="shared" si="7"/>
        <v>918.64</v>
      </c>
      <c r="K179" s="253"/>
      <c r="L179" s="253"/>
      <c r="M179" s="253"/>
      <c r="N179" s="253"/>
      <c r="O179" s="253"/>
      <c r="P179" s="253"/>
      <c r="Q179" s="253"/>
      <c r="R179" s="253"/>
      <c r="S179" s="253"/>
    </row>
    <row r="180" spans="1:19" s="2" customFormat="1" ht="15.75" customHeight="1" x14ac:dyDescent="0.2">
      <c r="A180" s="462"/>
      <c r="B180" s="484"/>
      <c r="C180" s="379" t="s">
        <v>28</v>
      </c>
      <c r="D180" s="379" t="s">
        <v>19</v>
      </c>
      <c r="E180" s="13">
        <f>595.83*1.055</f>
        <v>628.6</v>
      </c>
      <c r="F180" s="96">
        <f t="shared" si="4"/>
        <v>125.72</v>
      </c>
      <c r="G180" s="96">
        <f t="shared" si="5"/>
        <v>754.32</v>
      </c>
      <c r="H180" s="253"/>
      <c r="I180" s="304">
        <f t="shared" si="6"/>
        <v>113.15</v>
      </c>
      <c r="J180" s="304">
        <f t="shared" si="7"/>
        <v>741.75</v>
      </c>
      <c r="K180" s="253"/>
      <c r="L180" s="253"/>
      <c r="M180" s="253"/>
      <c r="N180" s="253"/>
      <c r="O180" s="253"/>
      <c r="P180" s="253"/>
      <c r="Q180" s="253"/>
      <c r="R180" s="253"/>
      <c r="S180" s="253"/>
    </row>
    <row r="181" spans="1:19" s="2" customFormat="1" ht="38.25" customHeight="1" x14ac:dyDescent="0.2">
      <c r="A181" s="462"/>
      <c r="B181" s="484"/>
      <c r="C181" s="12" t="s">
        <v>21</v>
      </c>
      <c r="D181" s="379" t="s">
        <v>19</v>
      </c>
      <c r="E181" s="13">
        <f>214.47*1.055</f>
        <v>226.27</v>
      </c>
      <c r="F181" s="96">
        <f t="shared" si="4"/>
        <v>45.25</v>
      </c>
      <c r="G181" s="96">
        <f t="shared" si="5"/>
        <v>271.52</v>
      </c>
      <c r="H181" s="253"/>
      <c r="I181" s="304">
        <f t="shared" si="6"/>
        <v>40.729999999999997</v>
      </c>
      <c r="J181" s="304">
        <f t="shared" si="7"/>
        <v>267</v>
      </c>
      <c r="K181" s="253"/>
      <c r="L181" s="253"/>
      <c r="M181" s="253"/>
      <c r="N181" s="253"/>
      <c r="O181" s="253"/>
      <c r="P181" s="253"/>
      <c r="Q181" s="253"/>
      <c r="R181" s="253"/>
      <c r="S181" s="253"/>
    </row>
    <row r="182" spans="1:19" s="2" customFormat="1" ht="53.25" customHeight="1" x14ac:dyDescent="0.2">
      <c r="A182" s="462"/>
      <c r="B182" s="484"/>
      <c r="C182" s="12" t="s">
        <v>22</v>
      </c>
      <c r="D182" s="379" t="s">
        <v>19</v>
      </c>
      <c r="E182" s="13">
        <f>449.98*1.055</f>
        <v>474.73</v>
      </c>
      <c r="F182" s="96">
        <f t="shared" si="4"/>
        <v>94.95</v>
      </c>
      <c r="G182" s="96">
        <f t="shared" si="5"/>
        <v>569.67999999999995</v>
      </c>
      <c r="H182" s="253"/>
      <c r="I182" s="304">
        <f t="shared" si="6"/>
        <v>85.45</v>
      </c>
      <c r="J182" s="304">
        <f t="shared" si="7"/>
        <v>560.17999999999995</v>
      </c>
      <c r="K182" s="253"/>
      <c r="L182" s="253"/>
      <c r="M182" s="253"/>
      <c r="N182" s="253"/>
      <c r="O182" s="253"/>
      <c r="P182" s="253"/>
      <c r="Q182" s="253"/>
      <c r="R182" s="253"/>
      <c r="S182" s="253"/>
    </row>
    <row r="183" spans="1:19" s="2" customFormat="1" ht="42" customHeight="1" x14ac:dyDescent="0.2">
      <c r="A183" s="462"/>
      <c r="B183" s="484"/>
      <c r="C183" s="16" t="s">
        <v>25</v>
      </c>
      <c r="D183" s="379" t="s">
        <v>19</v>
      </c>
      <c r="E183" s="13">
        <f>148.65*1.055</f>
        <v>156.83000000000001</v>
      </c>
      <c r="F183" s="96">
        <f t="shared" si="4"/>
        <v>31.37</v>
      </c>
      <c r="G183" s="96">
        <f t="shared" si="5"/>
        <v>188.2</v>
      </c>
      <c r="H183" s="253"/>
      <c r="I183" s="304">
        <f t="shared" si="6"/>
        <v>28.23</v>
      </c>
      <c r="J183" s="304">
        <f t="shared" si="7"/>
        <v>185.06</v>
      </c>
      <c r="K183" s="253"/>
      <c r="L183" s="253"/>
      <c r="M183" s="253"/>
      <c r="N183" s="253"/>
      <c r="O183" s="253"/>
      <c r="P183" s="253"/>
      <c r="Q183" s="253"/>
      <c r="R183" s="253"/>
      <c r="S183" s="253"/>
    </row>
    <row r="184" spans="1:19" s="2" customFormat="1" ht="39" customHeight="1" x14ac:dyDescent="0.2">
      <c r="A184" s="462" t="s">
        <v>58</v>
      </c>
      <c r="B184" s="481" t="s">
        <v>59</v>
      </c>
      <c r="C184" s="379" t="s">
        <v>16</v>
      </c>
      <c r="D184" s="12" t="s">
        <v>17</v>
      </c>
      <c r="E184" s="13">
        <f>550.07*1.055</f>
        <v>580.32000000000005</v>
      </c>
      <c r="F184" s="96">
        <f t="shared" si="4"/>
        <v>116.06</v>
      </c>
      <c r="G184" s="96">
        <f t="shared" si="5"/>
        <v>696.38</v>
      </c>
      <c r="H184" s="253"/>
      <c r="I184" s="304">
        <f t="shared" si="6"/>
        <v>104.46</v>
      </c>
      <c r="J184" s="304">
        <f t="shared" si="7"/>
        <v>684.78</v>
      </c>
      <c r="K184" s="253"/>
      <c r="L184" s="253"/>
      <c r="M184" s="253"/>
      <c r="N184" s="253"/>
      <c r="O184" s="253"/>
      <c r="P184" s="253"/>
      <c r="Q184" s="253"/>
      <c r="R184" s="253"/>
      <c r="S184" s="253"/>
    </row>
    <row r="185" spans="1:19" s="2" customFormat="1" ht="16.5" customHeight="1" x14ac:dyDescent="0.2">
      <c r="A185" s="462"/>
      <c r="B185" s="481"/>
      <c r="C185" s="379" t="s">
        <v>28</v>
      </c>
      <c r="D185" s="379" t="s">
        <v>19</v>
      </c>
      <c r="E185" s="13">
        <f>426.05*1.055</f>
        <v>449.48</v>
      </c>
      <c r="F185" s="96">
        <f t="shared" si="4"/>
        <v>89.9</v>
      </c>
      <c r="G185" s="96">
        <f t="shared" si="5"/>
        <v>539.38</v>
      </c>
      <c r="H185" s="253"/>
      <c r="I185" s="304">
        <f t="shared" si="6"/>
        <v>80.91</v>
      </c>
      <c r="J185" s="304">
        <f t="shared" si="7"/>
        <v>530.39</v>
      </c>
      <c r="K185" s="253"/>
      <c r="L185" s="253"/>
      <c r="M185" s="253"/>
      <c r="N185" s="253"/>
      <c r="O185" s="253"/>
      <c r="P185" s="253"/>
      <c r="Q185" s="253"/>
      <c r="R185" s="253"/>
      <c r="S185" s="253"/>
    </row>
    <row r="186" spans="1:19" s="2" customFormat="1" ht="35.25" customHeight="1" x14ac:dyDescent="0.2">
      <c r="A186" s="462"/>
      <c r="B186" s="481"/>
      <c r="C186" s="12" t="s">
        <v>21</v>
      </c>
      <c r="D186" s="379" t="s">
        <v>19</v>
      </c>
      <c r="E186" s="13">
        <f>214.47*1.055</f>
        <v>226.27</v>
      </c>
      <c r="F186" s="96">
        <f t="shared" si="4"/>
        <v>45.25</v>
      </c>
      <c r="G186" s="96">
        <f t="shared" si="5"/>
        <v>271.52</v>
      </c>
      <c r="H186" s="253"/>
      <c r="I186" s="304">
        <f t="shared" si="6"/>
        <v>40.729999999999997</v>
      </c>
      <c r="J186" s="304">
        <f t="shared" si="7"/>
        <v>267</v>
      </c>
      <c r="K186" s="253"/>
      <c r="L186" s="253"/>
      <c r="M186" s="253"/>
      <c r="N186" s="253"/>
      <c r="O186" s="253"/>
      <c r="P186" s="253"/>
      <c r="Q186" s="253"/>
      <c r="R186" s="253"/>
      <c r="S186" s="253"/>
    </row>
    <row r="187" spans="1:19" s="2" customFormat="1" ht="50.25" customHeight="1" x14ac:dyDescent="0.2">
      <c r="A187" s="462"/>
      <c r="B187" s="481"/>
      <c r="C187" s="12" t="s">
        <v>22</v>
      </c>
      <c r="D187" s="379" t="s">
        <v>19</v>
      </c>
      <c r="E187" s="13">
        <f>338.07*1.055</f>
        <v>356.66</v>
      </c>
      <c r="F187" s="96">
        <f t="shared" si="4"/>
        <v>71.33</v>
      </c>
      <c r="G187" s="96">
        <f t="shared" si="5"/>
        <v>427.99</v>
      </c>
      <c r="H187" s="275">
        <f>46.44</f>
        <v>46.44</v>
      </c>
      <c r="I187" s="308">
        <v>1.0549999999999999</v>
      </c>
      <c r="J187" s="304"/>
      <c r="K187" s="253"/>
      <c r="L187" s="253"/>
      <c r="M187" s="253"/>
      <c r="N187" s="253"/>
      <c r="O187" s="253"/>
      <c r="P187" s="253"/>
      <c r="Q187" s="253"/>
      <c r="R187" s="253"/>
      <c r="S187" s="253"/>
    </row>
    <row r="188" spans="1:19" s="2" customFormat="1" ht="44.25" customHeight="1" x14ac:dyDescent="0.2">
      <c r="A188" s="462"/>
      <c r="B188" s="481"/>
      <c r="C188" s="16" t="s">
        <v>25</v>
      </c>
      <c r="D188" s="379" t="s">
        <v>19</v>
      </c>
      <c r="E188" s="13">
        <f>148.65*1.055</f>
        <v>156.83000000000001</v>
      </c>
      <c r="F188" s="96">
        <f t="shared" si="4"/>
        <v>31.37</v>
      </c>
      <c r="G188" s="96">
        <f t="shared" si="5"/>
        <v>188.2</v>
      </c>
      <c r="H188" s="275">
        <f>50.31</f>
        <v>50.31</v>
      </c>
      <c r="I188" s="308">
        <v>1.0549999999999999</v>
      </c>
      <c r="J188" s="304"/>
      <c r="K188" s="253"/>
      <c r="L188" s="253"/>
      <c r="M188" s="253"/>
      <c r="N188" s="253"/>
      <c r="O188" s="253"/>
      <c r="P188" s="253"/>
      <c r="Q188" s="253"/>
      <c r="R188" s="253"/>
      <c r="S188" s="253"/>
    </row>
    <row r="189" spans="1:19" s="2" customFormat="1" ht="39" customHeight="1" x14ac:dyDescent="0.2">
      <c r="A189" s="462" t="s">
        <v>60</v>
      </c>
      <c r="B189" s="481" t="s">
        <v>61</v>
      </c>
      <c r="C189" s="379" t="s">
        <v>16</v>
      </c>
      <c r="D189" s="12" t="s">
        <v>17</v>
      </c>
      <c r="E189" s="13">
        <f>550.07*1.055</f>
        <v>580.32000000000005</v>
      </c>
      <c r="F189" s="96">
        <f t="shared" si="4"/>
        <v>116.06</v>
      </c>
      <c r="G189" s="96">
        <f t="shared" si="5"/>
        <v>696.38</v>
      </c>
      <c r="H189" s="275">
        <f>57.27</f>
        <v>57.27</v>
      </c>
      <c r="I189" s="308">
        <v>1.0549999999999999</v>
      </c>
      <c r="J189" s="304"/>
      <c r="K189" s="253"/>
      <c r="L189" s="253"/>
      <c r="M189" s="253"/>
      <c r="N189" s="253"/>
      <c r="O189" s="253"/>
      <c r="P189" s="253"/>
      <c r="Q189" s="253"/>
      <c r="R189" s="253"/>
      <c r="S189" s="253"/>
    </row>
    <row r="190" spans="1:19" s="2" customFormat="1" ht="15.75" customHeight="1" x14ac:dyDescent="0.2">
      <c r="A190" s="462"/>
      <c r="B190" s="481"/>
      <c r="C190" s="379" t="s">
        <v>28</v>
      </c>
      <c r="D190" s="379" t="s">
        <v>19</v>
      </c>
      <c r="E190" s="13">
        <f>426.05*1.055</f>
        <v>449.48</v>
      </c>
      <c r="F190" s="96">
        <f t="shared" si="4"/>
        <v>89.9</v>
      </c>
      <c r="G190" s="96">
        <f t="shared" si="5"/>
        <v>539.38</v>
      </c>
      <c r="H190" s="275">
        <f>72.36</f>
        <v>72.36</v>
      </c>
      <c r="I190" s="308">
        <v>1.0549999999999999</v>
      </c>
      <c r="J190" s="304"/>
      <c r="K190" s="253"/>
      <c r="L190" s="253"/>
      <c r="M190" s="253"/>
      <c r="N190" s="253"/>
      <c r="O190" s="253"/>
      <c r="P190" s="253"/>
      <c r="Q190" s="253"/>
      <c r="R190" s="253"/>
      <c r="S190" s="253"/>
    </row>
    <row r="191" spans="1:19" s="2" customFormat="1" ht="40.5" customHeight="1" x14ac:dyDescent="0.2">
      <c r="A191" s="462"/>
      <c r="B191" s="481"/>
      <c r="C191" s="12" t="s">
        <v>21</v>
      </c>
      <c r="D191" s="379" t="s">
        <v>19</v>
      </c>
      <c r="E191" s="13">
        <f>214.47*1.055</f>
        <v>226.27</v>
      </c>
      <c r="F191" s="96">
        <f t="shared" si="4"/>
        <v>45.25</v>
      </c>
      <c r="G191" s="96">
        <f t="shared" si="5"/>
        <v>271.52</v>
      </c>
      <c r="H191" s="275">
        <v>101.38</v>
      </c>
      <c r="I191" s="308">
        <v>1.0549999999999999</v>
      </c>
      <c r="J191" s="304"/>
      <c r="K191" s="253"/>
      <c r="L191" s="253"/>
      <c r="M191" s="253"/>
      <c r="N191" s="253"/>
      <c r="O191" s="253"/>
      <c r="P191" s="253"/>
      <c r="Q191" s="253"/>
      <c r="R191" s="253"/>
      <c r="S191" s="253"/>
    </row>
    <row r="192" spans="1:19" s="2" customFormat="1" ht="48" customHeight="1" x14ac:dyDescent="0.2">
      <c r="A192" s="462"/>
      <c r="B192" s="481"/>
      <c r="C192" s="12" t="s">
        <v>22</v>
      </c>
      <c r="D192" s="379" t="s">
        <v>19</v>
      </c>
      <c r="E192" s="13">
        <f>338.07*1.055</f>
        <v>356.66</v>
      </c>
      <c r="F192" s="96">
        <f t="shared" si="4"/>
        <v>71.33</v>
      </c>
      <c r="G192" s="96">
        <f t="shared" si="5"/>
        <v>427.99</v>
      </c>
      <c r="H192" s="275">
        <v>105.25</v>
      </c>
      <c r="I192" s="308">
        <v>1.0549999999999999</v>
      </c>
      <c r="J192" s="304"/>
      <c r="K192" s="253"/>
      <c r="L192" s="253"/>
      <c r="M192" s="253"/>
      <c r="N192" s="253"/>
      <c r="O192" s="253"/>
      <c r="P192" s="253"/>
      <c r="Q192" s="253"/>
      <c r="R192" s="253"/>
      <c r="S192" s="253"/>
    </row>
    <row r="193" spans="1:61" s="2" customFormat="1" ht="39.75" customHeight="1" x14ac:dyDescent="0.2">
      <c r="A193" s="462"/>
      <c r="B193" s="481"/>
      <c r="C193" s="16" t="s">
        <v>25</v>
      </c>
      <c r="D193" s="379" t="s">
        <v>19</v>
      </c>
      <c r="E193" s="13">
        <f>148.65*1.055</f>
        <v>156.83000000000001</v>
      </c>
      <c r="F193" s="96">
        <f t="shared" si="4"/>
        <v>31.37</v>
      </c>
      <c r="G193" s="96">
        <f t="shared" si="5"/>
        <v>188.2</v>
      </c>
      <c r="H193" s="275">
        <v>116.08</v>
      </c>
      <c r="I193" s="308">
        <v>1.0549999999999999</v>
      </c>
      <c r="J193" s="304"/>
      <c r="K193" s="253"/>
      <c r="L193" s="253"/>
      <c r="M193" s="253"/>
      <c r="N193" s="253"/>
      <c r="O193" s="253"/>
      <c r="P193" s="253"/>
      <c r="Q193" s="253"/>
      <c r="R193" s="253"/>
      <c r="S193" s="253"/>
    </row>
    <row r="194" spans="1:61" s="2" customFormat="1" ht="39" customHeight="1" x14ac:dyDescent="0.2">
      <c r="A194" s="462" t="s">
        <v>62</v>
      </c>
      <c r="B194" s="481" t="s">
        <v>63</v>
      </c>
      <c r="C194" s="379" t="s">
        <v>16</v>
      </c>
      <c r="D194" s="12" t="s">
        <v>17</v>
      </c>
      <c r="E194" s="14">
        <f>519.93*1.055</f>
        <v>548.53</v>
      </c>
      <c r="F194" s="96">
        <f t="shared" si="4"/>
        <v>109.71</v>
      </c>
      <c r="G194" s="96">
        <f t="shared" si="5"/>
        <v>658.24</v>
      </c>
      <c r="H194" s="275">
        <v>126.92</v>
      </c>
      <c r="I194" s="308">
        <v>1.0549999999999999</v>
      </c>
      <c r="J194" s="304"/>
      <c r="K194" s="253"/>
      <c r="L194" s="253"/>
      <c r="M194" s="253"/>
      <c r="N194" s="253"/>
      <c r="O194" s="253"/>
      <c r="P194" s="253"/>
      <c r="Q194" s="253"/>
      <c r="R194" s="253"/>
      <c r="S194" s="253"/>
      <c r="BH194" s="305">
        <f>497.54*1.045</f>
        <v>519.92999999999995</v>
      </c>
      <c r="BI194" s="305">
        <f>BH194-E194</f>
        <v>-28.6</v>
      </c>
    </row>
    <row r="195" spans="1:61" s="2" customFormat="1" ht="17.25" customHeight="1" x14ac:dyDescent="0.2">
      <c r="A195" s="462"/>
      <c r="B195" s="481"/>
      <c r="C195" s="379" t="s">
        <v>28</v>
      </c>
      <c r="D195" s="379" t="s">
        <v>19</v>
      </c>
      <c r="E195" s="14">
        <f>398.04*1.055</f>
        <v>419.93</v>
      </c>
      <c r="F195" s="96">
        <f t="shared" si="4"/>
        <v>83.99</v>
      </c>
      <c r="G195" s="96">
        <f t="shared" si="5"/>
        <v>503.92</v>
      </c>
      <c r="H195" s="275">
        <v>137.36000000000001</v>
      </c>
      <c r="I195" s="308">
        <v>1.0549999999999999</v>
      </c>
      <c r="J195" s="304"/>
      <c r="K195" s="253"/>
      <c r="L195" s="253"/>
      <c r="M195" s="253"/>
      <c r="N195" s="253"/>
      <c r="O195" s="253"/>
      <c r="P195" s="253"/>
      <c r="Q195" s="253"/>
      <c r="R195" s="253"/>
      <c r="S195" s="253"/>
    </row>
    <row r="196" spans="1:61" s="2" customFormat="1" ht="40.5" customHeight="1" x14ac:dyDescent="0.2">
      <c r="A196" s="462"/>
      <c r="B196" s="481"/>
      <c r="C196" s="12" t="s">
        <v>21</v>
      </c>
      <c r="D196" s="379" t="s">
        <v>19</v>
      </c>
      <c r="E196" s="14">
        <f>214.47*1.055</f>
        <v>226.27</v>
      </c>
      <c r="F196" s="96">
        <f t="shared" si="4"/>
        <v>45.25</v>
      </c>
      <c r="G196" s="96">
        <f t="shared" si="5"/>
        <v>271.52</v>
      </c>
      <c r="H196" s="275">
        <v>145.1</v>
      </c>
      <c r="I196" s="308">
        <v>1.0549999999999999</v>
      </c>
      <c r="J196" s="304"/>
      <c r="K196" s="253"/>
      <c r="L196" s="253"/>
      <c r="M196" s="253"/>
      <c r="N196" s="253"/>
      <c r="O196" s="253"/>
      <c r="P196" s="253"/>
      <c r="Q196" s="253"/>
      <c r="R196" s="253"/>
      <c r="S196" s="253"/>
    </row>
    <row r="197" spans="1:61" s="2" customFormat="1" ht="48.75" customHeight="1" x14ac:dyDescent="0.2">
      <c r="A197" s="462"/>
      <c r="B197" s="481"/>
      <c r="C197" s="12" t="s">
        <v>22</v>
      </c>
      <c r="D197" s="379" t="s">
        <v>19</v>
      </c>
      <c r="E197" s="14">
        <f>338.07*1.055</f>
        <v>356.66</v>
      </c>
      <c r="F197" s="96">
        <f t="shared" si="4"/>
        <v>71.33</v>
      </c>
      <c r="G197" s="96">
        <f>E197+F197</f>
        <v>427.99</v>
      </c>
      <c r="H197" s="275"/>
      <c r="I197" s="308"/>
      <c r="J197" s="304"/>
      <c r="K197" s="253"/>
      <c r="L197" s="253"/>
      <c r="M197" s="253"/>
      <c r="N197" s="253"/>
      <c r="O197" s="253"/>
      <c r="P197" s="253"/>
      <c r="Q197" s="253"/>
      <c r="R197" s="253"/>
      <c r="S197" s="253"/>
    </row>
    <row r="198" spans="1:61" s="2" customFormat="1" ht="36.75" customHeight="1" x14ac:dyDescent="0.2">
      <c r="A198" s="462"/>
      <c r="B198" s="481"/>
      <c r="C198" s="12" t="s">
        <v>23</v>
      </c>
      <c r="D198" s="379" t="s">
        <v>19</v>
      </c>
      <c r="E198" s="14">
        <f>168.57*1.055</f>
        <v>177.84</v>
      </c>
      <c r="F198" s="96">
        <f t="shared" si="4"/>
        <v>35.57</v>
      </c>
      <c r="G198" s="96">
        <f t="shared" si="5"/>
        <v>213.41</v>
      </c>
      <c r="H198" s="275">
        <v>159.80000000000001</v>
      </c>
      <c r="I198" s="308">
        <v>1.0549999999999999</v>
      </c>
      <c r="J198" s="304"/>
      <c r="K198" s="253"/>
      <c r="L198" s="253"/>
      <c r="M198" s="253"/>
      <c r="N198" s="253"/>
      <c r="O198" s="253"/>
      <c r="P198" s="253"/>
      <c r="Q198" s="253"/>
      <c r="R198" s="253"/>
      <c r="S198" s="253"/>
    </row>
    <row r="199" spans="1:61" s="2" customFormat="1" ht="44.25" customHeight="1" x14ac:dyDescent="0.2">
      <c r="A199" s="462"/>
      <c r="B199" s="481"/>
      <c r="C199" s="16" t="s">
        <v>25</v>
      </c>
      <c r="D199" s="379" t="s">
        <v>19</v>
      </c>
      <c r="E199" s="14">
        <f>148.65*1.055</f>
        <v>156.83000000000001</v>
      </c>
      <c r="F199" s="96">
        <f t="shared" si="4"/>
        <v>31.37</v>
      </c>
      <c r="G199" s="96">
        <f t="shared" si="5"/>
        <v>188.2</v>
      </c>
      <c r="H199" s="275">
        <v>167.16</v>
      </c>
      <c r="I199" s="308">
        <v>1.0549999999999999</v>
      </c>
      <c r="J199" s="304"/>
      <c r="K199" s="253"/>
      <c r="L199" s="253"/>
      <c r="M199" s="253"/>
      <c r="N199" s="253"/>
      <c r="O199" s="253"/>
      <c r="P199" s="253"/>
      <c r="Q199" s="253"/>
      <c r="R199" s="253"/>
      <c r="S199" s="253"/>
    </row>
    <row r="200" spans="1:61" s="2" customFormat="1" ht="39" customHeight="1" x14ac:dyDescent="0.2">
      <c r="A200" s="462" t="s">
        <v>64</v>
      </c>
      <c r="B200" s="481" t="s">
        <v>65</v>
      </c>
      <c r="C200" s="379" t="s">
        <v>16</v>
      </c>
      <c r="D200" s="12" t="s">
        <v>17</v>
      </c>
      <c r="E200" s="14">
        <f>1203.05*1.055</f>
        <v>1269.22</v>
      </c>
      <c r="F200" s="96">
        <f t="shared" si="4"/>
        <v>253.84</v>
      </c>
      <c r="G200" s="96">
        <f t="shared" si="5"/>
        <v>1523.06</v>
      </c>
      <c r="H200" s="275">
        <v>41.22</v>
      </c>
      <c r="I200" s="308">
        <v>1.0549999999999999</v>
      </c>
      <c r="J200" s="304"/>
      <c r="K200" s="253"/>
      <c r="L200" s="253"/>
      <c r="M200" s="253"/>
      <c r="N200" s="253"/>
      <c r="O200" s="253"/>
      <c r="P200" s="253"/>
      <c r="Q200" s="253"/>
      <c r="R200" s="253"/>
      <c r="S200" s="253"/>
    </row>
    <row r="201" spans="1:61" s="2" customFormat="1" ht="16.5" customHeight="1" x14ac:dyDescent="0.2">
      <c r="A201" s="462"/>
      <c r="B201" s="481"/>
      <c r="C201" s="379" t="s">
        <v>28</v>
      </c>
      <c r="D201" s="379" t="s">
        <v>19</v>
      </c>
      <c r="E201" s="13">
        <f>676.14*1.055</f>
        <v>713.33</v>
      </c>
      <c r="F201" s="96">
        <f t="shared" si="4"/>
        <v>142.66999999999999</v>
      </c>
      <c r="G201" s="96">
        <f t="shared" si="5"/>
        <v>856</v>
      </c>
      <c r="H201" s="275"/>
      <c r="I201" s="308"/>
      <c r="J201" s="304"/>
      <c r="K201" s="253"/>
      <c r="L201" s="253"/>
      <c r="M201" s="253"/>
      <c r="N201" s="253"/>
      <c r="O201" s="253"/>
      <c r="P201" s="253"/>
      <c r="Q201" s="253"/>
      <c r="R201" s="253"/>
      <c r="S201" s="253"/>
    </row>
    <row r="202" spans="1:61" s="2" customFormat="1" ht="36.75" customHeight="1" x14ac:dyDescent="0.2">
      <c r="A202" s="462"/>
      <c r="B202" s="481"/>
      <c r="C202" s="12" t="s">
        <v>21</v>
      </c>
      <c r="D202" s="379" t="s">
        <v>19</v>
      </c>
      <c r="E202" s="13">
        <f>214.47*1.055</f>
        <v>226.27</v>
      </c>
      <c r="F202" s="96">
        <f t="shared" si="4"/>
        <v>45.25</v>
      </c>
      <c r="G202" s="96">
        <f t="shared" si="5"/>
        <v>271.52</v>
      </c>
      <c r="H202" s="275">
        <v>30.23</v>
      </c>
      <c r="I202" s="308">
        <v>1.0549999999999999</v>
      </c>
      <c r="J202" s="304"/>
      <c r="K202" s="253"/>
      <c r="L202" s="253"/>
      <c r="M202" s="253"/>
      <c r="N202" s="253"/>
      <c r="O202" s="253"/>
      <c r="P202" s="253"/>
      <c r="Q202" s="253"/>
      <c r="R202" s="253"/>
      <c r="S202" s="253"/>
    </row>
    <row r="203" spans="1:61" s="2" customFormat="1" ht="47.25" customHeight="1" x14ac:dyDescent="0.2">
      <c r="A203" s="462"/>
      <c r="B203" s="481"/>
      <c r="C203" s="12" t="s">
        <v>22</v>
      </c>
      <c r="D203" s="379" t="s">
        <v>19</v>
      </c>
      <c r="E203" s="13">
        <f>613.61*1.055</f>
        <v>647.36</v>
      </c>
      <c r="F203" s="96">
        <f t="shared" si="4"/>
        <v>129.47</v>
      </c>
      <c r="G203" s="96">
        <f t="shared" si="5"/>
        <v>776.83</v>
      </c>
      <c r="H203" s="275">
        <v>35.71</v>
      </c>
      <c r="I203" s="308">
        <v>1.0549999999999999</v>
      </c>
      <c r="J203" s="304"/>
      <c r="K203" s="253"/>
      <c r="L203" s="253"/>
      <c r="M203" s="253"/>
      <c r="N203" s="253"/>
      <c r="O203" s="253"/>
      <c r="P203" s="253"/>
      <c r="Q203" s="253"/>
      <c r="R203" s="253"/>
      <c r="S203" s="253"/>
    </row>
    <row r="204" spans="1:61" s="2" customFormat="1" ht="43.5" customHeight="1" x14ac:dyDescent="0.2">
      <c r="A204" s="462"/>
      <c r="B204" s="481"/>
      <c r="C204" s="16" t="s">
        <v>25</v>
      </c>
      <c r="D204" s="379" t="s">
        <v>19</v>
      </c>
      <c r="E204" s="13">
        <f>148.65*1.055</f>
        <v>156.83000000000001</v>
      </c>
      <c r="F204" s="96">
        <f t="shared" si="4"/>
        <v>31.37</v>
      </c>
      <c r="G204" s="96">
        <f t="shared" si="5"/>
        <v>188.2</v>
      </c>
      <c r="H204" s="275"/>
      <c r="I204" s="308"/>
      <c r="J204" s="304"/>
      <c r="K204" s="253"/>
      <c r="L204" s="253"/>
      <c r="M204" s="253"/>
      <c r="N204" s="253"/>
      <c r="O204" s="253"/>
      <c r="P204" s="253"/>
      <c r="Q204" s="253"/>
      <c r="R204" s="253"/>
      <c r="S204" s="253"/>
    </row>
    <row r="205" spans="1:61" s="2" customFormat="1" ht="47.25" customHeight="1" x14ac:dyDescent="0.2">
      <c r="A205" s="429" t="s">
        <v>66</v>
      </c>
      <c r="B205" s="482" t="s">
        <v>67</v>
      </c>
      <c r="C205" s="379" t="s">
        <v>16</v>
      </c>
      <c r="D205" s="12" t="s">
        <v>17</v>
      </c>
      <c r="E205" s="13">
        <f>1494.56*1.055</f>
        <v>1576.76</v>
      </c>
      <c r="F205" s="96">
        <f t="shared" si="4"/>
        <v>315.35000000000002</v>
      </c>
      <c r="G205" s="96">
        <f>E205+F205</f>
        <v>1892.11</v>
      </c>
      <c r="H205" s="275"/>
      <c r="I205" s="308"/>
      <c r="J205" s="304"/>
      <c r="K205" s="253"/>
      <c r="L205" s="253"/>
      <c r="M205" s="253"/>
      <c r="N205" s="253"/>
      <c r="O205" s="253"/>
      <c r="P205" s="253"/>
      <c r="Q205" s="253"/>
      <c r="R205" s="253"/>
      <c r="S205" s="253"/>
    </row>
    <row r="206" spans="1:61" s="2" customFormat="1" ht="27.75" customHeight="1" x14ac:dyDescent="0.2">
      <c r="A206" s="429"/>
      <c r="B206" s="482"/>
      <c r="C206" s="379" t="s">
        <v>28</v>
      </c>
      <c r="D206" s="379" t="s">
        <v>19</v>
      </c>
      <c r="E206" s="13">
        <f>756.87*1.055</f>
        <v>798.5</v>
      </c>
      <c r="F206" s="96">
        <f t="shared" si="4"/>
        <v>159.69999999999999</v>
      </c>
      <c r="G206" s="96">
        <f>E206+F206</f>
        <v>958.2</v>
      </c>
      <c r="H206" s="275"/>
      <c r="I206" s="308"/>
      <c r="J206" s="304"/>
      <c r="K206" s="253"/>
      <c r="L206" s="253"/>
      <c r="M206" s="253"/>
      <c r="N206" s="253"/>
      <c r="O206" s="253"/>
      <c r="P206" s="253"/>
      <c r="Q206" s="253"/>
      <c r="R206" s="253"/>
      <c r="S206" s="253"/>
    </row>
    <row r="207" spans="1:61" s="2" customFormat="1" ht="45" customHeight="1" x14ac:dyDescent="0.2">
      <c r="A207" s="429"/>
      <c r="B207" s="482"/>
      <c r="C207" s="12" t="s">
        <v>21</v>
      </c>
      <c r="D207" s="379" t="s">
        <v>19</v>
      </c>
      <c r="E207" s="13">
        <f>214.47*1.055</f>
        <v>226.27</v>
      </c>
      <c r="F207" s="96">
        <f t="shared" si="4"/>
        <v>45.25</v>
      </c>
      <c r="G207" s="96">
        <f>E207+F207</f>
        <v>271.52</v>
      </c>
      <c r="H207" s="275"/>
      <c r="I207" s="308"/>
      <c r="J207" s="304"/>
      <c r="K207" s="253"/>
      <c r="L207" s="253"/>
      <c r="M207" s="253"/>
      <c r="N207" s="253"/>
      <c r="O207" s="253"/>
      <c r="P207" s="253"/>
      <c r="Q207" s="253"/>
      <c r="R207" s="253"/>
      <c r="S207" s="253"/>
      <c r="X207" s="253"/>
    </row>
    <row r="208" spans="1:61" s="2" customFormat="1" ht="57" customHeight="1" x14ac:dyDescent="0.2">
      <c r="A208" s="429"/>
      <c r="B208" s="482"/>
      <c r="C208" s="12" t="s">
        <v>22</v>
      </c>
      <c r="D208" s="379" t="s">
        <v>19</v>
      </c>
      <c r="E208" s="13">
        <f>895.28*1.055</f>
        <v>944.52</v>
      </c>
      <c r="F208" s="96">
        <f t="shared" si="4"/>
        <v>188.9</v>
      </c>
      <c r="G208" s="96">
        <f>E208+F208</f>
        <v>1133.42</v>
      </c>
      <c r="H208" s="275"/>
      <c r="I208" s="308"/>
      <c r="J208" s="304"/>
      <c r="K208" s="253"/>
      <c r="L208" s="253"/>
      <c r="M208" s="253"/>
      <c r="N208" s="253"/>
      <c r="O208" s="253"/>
      <c r="P208" s="253"/>
      <c r="Q208" s="253"/>
      <c r="R208" s="253"/>
      <c r="S208" s="253"/>
      <c r="X208" s="253"/>
    </row>
    <row r="209" spans="1:22" s="2" customFormat="1" ht="46.5" customHeight="1" x14ac:dyDescent="0.2">
      <c r="A209" s="429"/>
      <c r="B209" s="482"/>
      <c r="C209" s="16" t="s">
        <v>25</v>
      </c>
      <c r="D209" s="379" t="s">
        <v>19</v>
      </c>
      <c r="E209" s="13">
        <f>148.65*1.055</f>
        <v>156.83000000000001</v>
      </c>
      <c r="F209" s="96">
        <f t="shared" si="4"/>
        <v>31.37</v>
      </c>
      <c r="G209" s="96">
        <f>E209+F209</f>
        <v>188.2</v>
      </c>
      <c r="H209" s="275"/>
      <c r="I209" s="308"/>
      <c r="J209" s="304"/>
      <c r="K209" s="253"/>
      <c r="L209" s="253"/>
      <c r="M209" s="253"/>
      <c r="N209" s="253"/>
      <c r="O209" s="253"/>
      <c r="P209" s="253"/>
      <c r="Q209" s="253"/>
      <c r="R209" s="253"/>
      <c r="S209" s="253"/>
    </row>
    <row r="210" spans="1:22" s="2" customFormat="1" ht="33.75" customHeight="1" x14ac:dyDescent="0.2">
      <c r="A210" s="375" t="s">
        <v>68</v>
      </c>
      <c r="B210" s="377" t="s">
        <v>69</v>
      </c>
      <c r="C210" s="12" t="s">
        <v>70</v>
      </c>
      <c r="D210" s="379" t="s">
        <v>19</v>
      </c>
      <c r="E210" s="13">
        <f>380.2</f>
        <v>380.2</v>
      </c>
      <c r="F210" s="96">
        <f t="shared" si="4"/>
        <v>76.040000000000006</v>
      </c>
      <c r="G210" s="96">
        <f t="shared" si="5"/>
        <v>456.24</v>
      </c>
      <c r="H210" s="253"/>
      <c r="I210" s="308"/>
      <c r="J210" s="304"/>
      <c r="K210" s="253"/>
      <c r="L210" s="253"/>
      <c r="M210" s="253"/>
      <c r="N210" s="253"/>
      <c r="O210" s="253"/>
      <c r="P210" s="253"/>
      <c r="Q210" s="253"/>
      <c r="R210" s="253"/>
      <c r="S210" s="253"/>
      <c r="T210" s="253"/>
      <c r="U210" s="253"/>
      <c r="V210" s="253"/>
    </row>
    <row r="211" spans="1:22" s="2" customFormat="1" ht="34.5" customHeight="1" x14ac:dyDescent="0.2">
      <c r="A211" s="375" t="s">
        <v>71</v>
      </c>
      <c r="B211" s="376" t="s">
        <v>72</v>
      </c>
      <c r="C211" s="12" t="s">
        <v>70</v>
      </c>
      <c r="D211" s="379" t="s">
        <v>19</v>
      </c>
      <c r="E211" s="13">
        <f>658.16*1.055</f>
        <v>694.36</v>
      </c>
      <c r="F211" s="96">
        <f t="shared" si="4"/>
        <v>138.87</v>
      </c>
      <c r="G211" s="96">
        <f t="shared" si="5"/>
        <v>833.23</v>
      </c>
      <c r="H211" s="253"/>
      <c r="I211" s="304">
        <f>E211*18%</f>
        <v>124.98</v>
      </c>
      <c r="J211" s="304">
        <f>E211*1.18</f>
        <v>819.34</v>
      </c>
      <c r="K211" s="196">
        <f>E211*1.05</f>
        <v>729.08</v>
      </c>
      <c r="L211" s="197"/>
      <c r="M211" s="253"/>
      <c r="N211" s="253"/>
      <c r="O211" s="253"/>
      <c r="P211" s="253"/>
      <c r="Q211" s="253"/>
      <c r="R211" s="253"/>
      <c r="S211" s="253"/>
      <c r="T211" s="253"/>
      <c r="U211" s="253"/>
      <c r="V211" s="253"/>
    </row>
    <row r="212" spans="1:22" s="31" customFormat="1" ht="31.5" customHeight="1" x14ac:dyDescent="0.2">
      <c r="A212" s="375" t="s">
        <v>73</v>
      </c>
      <c r="B212" s="376" t="s">
        <v>74</v>
      </c>
      <c r="C212" s="12" t="s">
        <v>70</v>
      </c>
      <c r="D212" s="379" t="s">
        <v>19</v>
      </c>
      <c r="E212" s="13">
        <f>708.83*1.055</f>
        <v>747.82</v>
      </c>
      <c r="F212" s="96">
        <f t="shared" si="4"/>
        <v>149.56</v>
      </c>
      <c r="G212" s="96">
        <f t="shared" si="5"/>
        <v>897.38</v>
      </c>
      <c r="H212" s="21"/>
      <c r="I212" s="304">
        <f>E212*18%</f>
        <v>134.61000000000001</v>
      </c>
      <c r="J212" s="304">
        <f>E212*1.18</f>
        <v>882.43</v>
      </c>
      <c r="K212" s="196">
        <f t="shared" ref="K212:K218" si="8">E212*1.05</f>
        <v>785.21</v>
      </c>
      <c r="L212" s="198"/>
      <c r="M212" s="21"/>
      <c r="N212" s="21"/>
      <c r="O212" s="21"/>
      <c r="P212" s="21"/>
      <c r="Q212" s="21"/>
      <c r="R212" s="21"/>
      <c r="S212" s="21"/>
      <c r="T212" s="21"/>
      <c r="U212" s="21"/>
      <c r="V212" s="21"/>
    </row>
    <row r="213" spans="1:22" s="309" customFormat="1" ht="29.25" customHeight="1" x14ac:dyDescent="0.2">
      <c r="A213" s="375" t="s">
        <v>75</v>
      </c>
      <c r="B213" s="376" t="s">
        <v>76</v>
      </c>
      <c r="C213" s="12" t="s">
        <v>70</v>
      </c>
      <c r="D213" s="379" t="s">
        <v>19</v>
      </c>
      <c r="E213" s="13">
        <f>759.51*1.055</f>
        <v>801.28</v>
      </c>
      <c r="F213" s="96">
        <f t="shared" si="4"/>
        <v>160.26</v>
      </c>
      <c r="G213" s="96">
        <f t="shared" si="5"/>
        <v>961.54</v>
      </c>
      <c r="H213" s="24"/>
      <c r="I213" s="304">
        <f>E213*18%</f>
        <v>144.22999999999999</v>
      </c>
      <c r="J213" s="304">
        <f>E213*1.18</f>
        <v>945.51</v>
      </c>
      <c r="K213" s="196">
        <f t="shared" si="8"/>
        <v>841.34</v>
      </c>
      <c r="L213" s="199"/>
      <c r="M213" s="24"/>
      <c r="N213" s="24"/>
      <c r="O213" s="24"/>
      <c r="P213" s="24"/>
      <c r="Q213" s="24"/>
      <c r="R213" s="24"/>
      <c r="S213" s="24"/>
      <c r="T213" s="24"/>
      <c r="U213" s="24"/>
      <c r="V213" s="24"/>
    </row>
    <row r="214" spans="1:22" s="31" customFormat="1" ht="29.25" customHeight="1" x14ac:dyDescent="0.2">
      <c r="A214" s="375" t="s">
        <v>77</v>
      </c>
      <c r="B214" s="376" t="s">
        <v>78</v>
      </c>
      <c r="C214" s="12" t="s">
        <v>70</v>
      </c>
      <c r="D214" s="379" t="s">
        <v>19</v>
      </c>
      <c r="E214" s="13">
        <f>852.71*1.055</f>
        <v>899.61</v>
      </c>
      <c r="F214" s="96">
        <f t="shared" si="4"/>
        <v>179.92</v>
      </c>
      <c r="G214" s="96">
        <f t="shared" si="5"/>
        <v>1079.53</v>
      </c>
      <c r="H214" s="21"/>
      <c r="I214" s="304" t="e">
        <f>#REF!*18%</f>
        <v>#REF!</v>
      </c>
      <c r="J214" s="304" t="e">
        <f>#REF!*1.18</f>
        <v>#REF!</v>
      </c>
      <c r="K214" s="196">
        <f t="shared" si="8"/>
        <v>944.59</v>
      </c>
      <c r="L214" s="198"/>
      <c r="M214" s="21"/>
      <c r="N214" s="21"/>
      <c r="O214" s="21"/>
      <c r="P214" s="21"/>
      <c r="Q214" s="21"/>
      <c r="R214" s="21"/>
      <c r="S214" s="21"/>
      <c r="T214" s="21"/>
      <c r="U214" s="21"/>
      <c r="V214" s="21"/>
    </row>
    <row r="215" spans="1:22" s="31" customFormat="1" ht="29.25" customHeight="1" x14ac:dyDescent="0.2">
      <c r="A215" s="375" t="s">
        <v>79</v>
      </c>
      <c r="B215" s="376" t="s">
        <v>80</v>
      </c>
      <c r="C215" s="12" t="s">
        <v>70</v>
      </c>
      <c r="D215" s="379" t="s">
        <v>19</v>
      </c>
      <c r="E215" s="13">
        <f>977.66*1.055</f>
        <v>1031.43</v>
      </c>
      <c r="F215" s="96">
        <f t="shared" si="4"/>
        <v>206.29</v>
      </c>
      <c r="G215" s="96">
        <f t="shared" si="5"/>
        <v>1237.72</v>
      </c>
      <c r="H215" s="21"/>
      <c r="I215" s="304" t="e">
        <f>#REF!*18%</f>
        <v>#REF!</v>
      </c>
      <c r="J215" s="304" t="e">
        <f>#REF!*1.18</f>
        <v>#REF!</v>
      </c>
      <c r="K215" s="196">
        <f t="shared" si="8"/>
        <v>1083</v>
      </c>
      <c r="L215" s="198"/>
      <c r="M215" s="21"/>
      <c r="N215" s="21"/>
      <c r="O215" s="21"/>
      <c r="P215" s="21"/>
      <c r="Q215" s="21"/>
      <c r="R215" s="21"/>
      <c r="S215" s="21"/>
      <c r="T215" s="21"/>
      <c r="U215" s="21"/>
      <c r="V215" s="21"/>
    </row>
    <row r="216" spans="1:22" s="31" customFormat="1" ht="28.5" customHeight="1" x14ac:dyDescent="0.2">
      <c r="A216" s="375" t="s">
        <v>81</v>
      </c>
      <c r="B216" s="376" t="s">
        <v>82</v>
      </c>
      <c r="C216" s="12" t="s">
        <v>70</v>
      </c>
      <c r="D216" s="379" t="s">
        <v>19</v>
      </c>
      <c r="E216" s="13">
        <f>1164.06*1.055</f>
        <v>1228.08</v>
      </c>
      <c r="F216" s="96">
        <f t="shared" si="4"/>
        <v>245.62</v>
      </c>
      <c r="G216" s="96">
        <f t="shared" si="5"/>
        <v>1473.7</v>
      </c>
      <c r="H216" s="21"/>
      <c r="I216" s="304" t="e">
        <f>#REF!*18%</f>
        <v>#REF!</v>
      </c>
      <c r="J216" s="304" t="e">
        <f>#REF!*1.18</f>
        <v>#REF!</v>
      </c>
      <c r="K216" s="196">
        <f t="shared" si="8"/>
        <v>1289.48</v>
      </c>
      <c r="L216" s="198"/>
      <c r="M216" s="21"/>
      <c r="N216" s="21"/>
      <c r="O216" s="21"/>
      <c r="P216" s="21"/>
      <c r="Q216" s="21"/>
      <c r="R216" s="21"/>
      <c r="S216" s="21"/>
      <c r="T216" s="21"/>
      <c r="U216" s="21"/>
      <c r="V216" s="21"/>
    </row>
    <row r="217" spans="1:22" s="31" customFormat="1" ht="27" customHeight="1" x14ac:dyDescent="0.2">
      <c r="A217" s="375" t="s">
        <v>83</v>
      </c>
      <c r="B217" s="376" t="s">
        <v>84</v>
      </c>
      <c r="C217" s="12" t="s">
        <v>70</v>
      </c>
      <c r="D217" s="379" t="s">
        <v>19</v>
      </c>
      <c r="E217" s="13">
        <f>1364.34*1.055</f>
        <v>1439.38</v>
      </c>
      <c r="F217" s="96">
        <f t="shared" si="4"/>
        <v>287.88</v>
      </c>
      <c r="G217" s="96">
        <f t="shared" si="5"/>
        <v>1727.26</v>
      </c>
      <c r="H217" s="21"/>
      <c r="I217" s="304" t="e">
        <f>#REF!*18%</f>
        <v>#REF!</v>
      </c>
      <c r="J217" s="304" t="e">
        <f>#REF!*1.18</f>
        <v>#REF!</v>
      </c>
      <c r="K217" s="196">
        <f t="shared" si="8"/>
        <v>1511.35</v>
      </c>
      <c r="L217" s="198"/>
      <c r="M217" s="21"/>
      <c r="N217" s="21"/>
      <c r="O217" s="21"/>
      <c r="P217" s="21"/>
      <c r="Q217" s="21"/>
      <c r="R217" s="21"/>
      <c r="S217" s="21"/>
      <c r="T217" s="21"/>
      <c r="U217" s="21"/>
      <c r="V217" s="21"/>
    </row>
    <row r="218" spans="1:22" s="31" customFormat="1" ht="29.25" customHeight="1" x14ac:dyDescent="0.2">
      <c r="A218" s="375" t="s">
        <v>85</v>
      </c>
      <c r="B218" s="376" t="s">
        <v>86</v>
      </c>
      <c r="C218" s="12" t="s">
        <v>70</v>
      </c>
      <c r="D218" s="379" t="s">
        <v>19</v>
      </c>
      <c r="E218" s="13">
        <f>1572.57*1.055</f>
        <v>1659.06</v>
      </c>
      <c r="F218" s="96">
        <f t="shared" si="4"/>
        <v>331.81</v>
      </c>
      <c r="G218" s="96">
        <f t="shared" si="5"/>
        <v>1990.87</v>
      </c>
      <c r="H218" s="21"/>
      <c r="I218" s="304" t="e">
        <f>#REF!*18%</f>
        <v>#REF!</v>
      </c>
      <c r="J218" s="304" t="e">
        <f>#REF!*1.18</f>
        <v>#REF!</v>
      </c>
      <c r="K218" s="196">
        <f t="shared" si="8"/>
        <v>1742.01</v>
      </c>
      <c r="L218" s="198"/>
      <c r="M218" s="21"/>
      <c r="N218" s="21"/>
      <c r="O218" s="21"/>
      <c r="P218" s="21"/>
      <c r="Q218" s="21"/>
      <c r="R218" s="21"/>
      <c r="S218" s="21"/>
      <c r="T218" s="21"/>
      <c r="U218" s="21"/>
      <c r="V218" s="21"/>
    </row>
    <row r="219" spans="1:22" s="31" customFormat="1" ht="42.75" customHeight="1" x14ac:dyDescent="0.2">
      <c r="A219" s="375" t="s">
        <v>87</v>
      </c>
      <c r="B219" s="378" t="s">
        <v>88</v>
      </c>
      <c r="C219" s="26" t="s">
        <v>89</v>
      </c>
      <c r="D219" s="379" t="s">
        <v>19</v>
      </c>
      <c r="E219" s="13">
        <f>174.58*1.055</f>
        <v>184.18</v>
      </c>
      <c r="F219" s="96">
        <f t="shared" si="4"/>
        <v>36.840000000000003</v>
      </c>
      <c r="G219" s="96">
        <f>E219+F219</f>
        <v>221.02</v>
      </c>
      <c r="H219" s="21"/>
      <c r="I219" s="304"/>
      <c r="J219" s="304"/>
      <c r="K219" s="308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</row>
    <row r="220" spans="1:22" s="31" customFormat="1" ht="43.5" customHeight="1" x14ac:dyDescent="0.2">
      <c r="A220" s="375" t="s">
        <v>90</v>
      </c>
      <c r="B220" s="378" t="s">
        <v>1754</v>
      </c>
      <c r="C220" s="26" t="s">
        <v>1755</v>
      </c>
      <c r="D220" s="379" t="s">
        <v>19</v>
      </c>
      <c r="E220" s="13">
        <f>884.76*1.055</f>
        <v>933.42</v>
      </c>
      <c r="F220" s="96">
        <f t="shared" si="4"/>
        <v>186.68</v>
      </c>
      <c r="G220" s="96">
        <f>E220+F220</f>
        <v>1120.0999999999999</v>
      </c>
      <c r="H220" s="276">
        <f>F220+G220</f>
        <v>1306.78</v>
      </c>
      <c r="I220" s="304"/>
      <c r="J220" s="304"/>
      <c r="K220" s="308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</row>
    <row r="221" spans="1:22" s="31" customFormat="1" ht="53.25" customHeight="1" x14ac:dyDescent="0.2">
      <c r="A221" s="428" t="s">
        <v>120</v>
      </c>
      <c r="B221" s="428"/>
      <c r="C221" s="428"/>
      <c r="D221" s="428"/>
      <c r="E221" s="428"/>
      <c r="F221" s="428"/>
      <c r="G221" s="428"/>
      <c r="H221" s="21"/>
      <c r="I221" s="304" t="e">
        <f>#REF!*18%</f>
        <v>#REF!</v>
      </c>
      <c r="J221" s="304" t="e">
        <f>#REF!*1.18</f>
        <v>#REF!</v>
      </c>
      <c r="K221" s="308">
        <v>1.0549999999999999</v>
      </c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</row>
    <row r="222" spans="1:22" s="31" customFormat="1" ht="69.75" customHeight="1" x14ac:dyDescent="0.2">
      <c r="A222" s="380" t="s">
        <v>121</v>
      </c>
      <c r="B222" s="380" t="s">
        <v>122</v>
      </c>
      <c r="C222" s="429" t="s">
        <v>123</v>
      </c>
      <c r="D222" s="429"/>
      <c r="E222" s="386" t="s">
        <v>10</v>
      </c>
      <c r="F222" s="200" t="s">
        <v>11</v>
      </c>
      <c r="G222" s="371" t="s">
        <v>12</v>
      </c>
      <c r="H222" s="21"/>
      <c r="I222" s="304" t="e">
        <f>#REF!*18%</f>
        <v>#REF!</v>
      </c>
      <c r="J222" s="304" t="e">
        <f>#REF!*1.18</f>
        <v>#REF!</v>
      </c>
      <c r="K222" s="308">
        <v>1.0549999999999999</v>
      </c>
      <c r="L222" s="21"/>
      <c r="M222" s="21"/>
      <c r="N222" s="21"/>
      <c r="O222" s="21"/>
      <c r="P222" s="21"/>
      <c r="Q222" s="21"/>
      <c r="R222" s="21"/>
      <c r="S222" s="21"/>
    </row>
    <row r="223" spans="1:22" s="31" customFormat="1" ht="15.75" customHeight="1" x14ac:dyDescent="0.2">
      <c r="A223" s="383">
        <v>1</v>
      </c>
      <c r="B223" s="383">
        <v>2</v>
      </c>
      <c r="C223" s="480">
        <v>4</v>
      </c>
      <c r="D223" s="480"/>
      <c r="E223" s="37">
        <v>5</v>
      </c>
      <c r="F223" s="277">
        <v>6</v>
      </c>
      <c r="G223" s="277">
        <v>7</v>
      </c>
      <c r="H223" s="21"/>
      <c r="I223" s="304"/>
      <c r="J223" s="304"/>
      <c r="K223" s="308"/>
      <c r="L223" s="21"/>
      <c r="M223" s="21"/>
      <c r="N223" s="21"/>
      <c r="O223" s="21"/>
      <c r="P223" s="21"/>
      <c r="Q223" s="21"/>
      <c r="R223" s="21"/>
      <c r="S223" s="21"/>
    </row>
    <row r="224" spans="1:22" s="31" customFormat="1" ht="40.5" customHeight="1" x14ac:dyDescent="0.2">
      <c r="A224" s="38">
        <v>1</v>
      </c>
      <c r="B224" s="42" t="s">
        <v>124</v>
      </c>
      <c r="C224" s="541" t="s">
        <v>1756</v>
      </c>
      <c r="D224" s="541"/>
      <c r="E224" s="389">
        <f>626.78*1.055</f>
        <v>661.25</v>
      </c>
      <c r="F224" s="96">
        <f>E224*20%</f>
        <v>132.25</v>
      </c>
      <c r="G224" s="96">
        <f>E224+F224</f>
        <v>793.5</v>
      </c>
      <c r="H224" s="253" t="s">
        <v>125</v>
      </c>
      <c r="I224" s="304"/>
      <c r="J224" s="304"/>
      <c r="K224" s="308"/>
      <c r="L224" s="21"/>
      <c r="M224" s="21"/>
      <c r="N224" s="21"/>
      <c r="O224" s="21"/>
      <c r="P224" s="21"/>
      <c r="Q224" s="21"/>
      <c r="R224" s="21"/>
      <c r="S224" s="21"/>
    </row>
    <row r="225" spans="1:62" s="2" customFormat="1" ht="42" customHeight="1" x14ac:dyDescent="0.2">
      <c r="A225" s="38">
        <v>2</v>
      </c>
      <c r="B225" s="42" t="s">
        <v>126</v>
      </c>
      <c r="C225" s="541" t="s">
        <v>1757</v>
      </c>
      <c r="D225" s="541"/>
      <c r="E225" s="40">
        <f>885.35*1.055</f>
        <v>934.04</v>
      </c>
      <c r="F225" s="96">
        <f>E225*20%</f>
        <v>186.81</v>
      </c>
      <c r="G225" s="96">
        <f>E225+F225</f>
        <v>1120.8499999999999</v>
      </c>
      <c r="H225" s="253" t="s">
        <v>125</v>
      </c>
      <c r="I225" s="304" t="e">
        <f>#REF!*18%</f>
        <v>#REF!</v>
      </c>
      <c r="J225" s="304" t="e">
        <f>#REF!*1.18</f>
        <v>#REF!</v>
      </c>
      <c r="K225" s="308">
        <v>1.0549999999999999</v>
      </c>
      <c r="L225" s="253"/>
      <c r="M225" s="253"/>
      <c r="N225" s="253"/>
      <c r="O225" s="253"/>
      <c r="P225" s="253"/>
      <c r="Q225" s="253"/>
      <c r="R225" s="253"/>
      <c r="S225" s="253"/>
    </row>
    <row r="226" spans="1:62" s="2" customFormat="1" ht="46.5" customHeight="1" x14ac:dyDescent="0.2">
      <c r="A226" s="38">
        <v>3</v>
      </c>
      <c r="B226" s="42" t="s">
        <v>127</v>
      </c>
      <c r="C226" s="541" t="s">
        <v>1758</v>
      </c>
      <c r="D226" s="541"/>
      <c r="E226" s="40">
        <f>237.28*1.055</f>
        <v>250.33</v>
      </c>
      <c r="F226" s="96">
        <f>E226*20%</f>
        <v>50.07</v>
      </c>
      <c r="G226" s="96">
        <f>E226+F226</f>
        <v>300.39999999999998</v>
      </c>
      <c r="H226" s="253" t="s">
        <v>125</v>
      </c>
      <c r="I226" s="304" t="e">
        <f>#REF!*18%</f>
        <v>#REF!</v>
      </c>
      <c r="J226" s="304" t="e">
        <f>#REF!*1.18</f>
        <v>#REF!</v>
      </c>
      <c r="K226" s="308">
        <v>1.0549999999999999</v>
      </c>
      <c r="L226" s="253"/>
      <c r="M226" s="253"/>
      <c r="N226" s="253"/>
      <c r="O226" s="253"/>
      <c r="P226" s="253"/>
      <c r="Q226" s="253"/>
      <c r="R226" s="253"/>
      <c r="S226" s="253"/>
    </row>
    <row r="227" spans="1:62" s="2" customFormat="1" ht="44.25" customHeight="1" x14ac:dyDescent="0.2">
      <c r="A227" s="38">
        <v>4</v>
      </c>
      <c r="B227" s="42" t="s">
        <v>128</v>
      </c>
      <c r="C227" s="541" t="s">
        <v>1757</v>
      </c>
      <c r="D227" s="541"/>
      <c r="E227" s="40">
        <f>1098.15*1.055</f>
        <v>1158.55</v>
      </c>
      <c r="F227" s="96">
        <f>E227*20%</f>
        <v>231.71</v>
      </c>
      <c r="G227" s="96">
        <f>E227+F227</f>
        <v>1390.26</v>
      </c>
      <c r="H227" s="253"/>
      <c r="I227" s="304" t="e">
        <f>#REF!*18%</f>
        <v>#REF!</v>
      </c>
      <c r="J227" s="304" t="e">
        <f>#REF!*1.18</f>
        <v>#REF!</v>
      </c>
      <c r="K227" s="308">
        <v>1.0549999999999999</v>
      </c>
      <c r="L227" s="253"/>
      <c r="M227" s="253"/>
      <c r="N227" s="253"/>
      <c r="O227" s="253"/>
      <c r="P227" s="253"/>
      <c r="Q227" s="253"/>
      <c r="R227" s="253"/>
      <c r="S227" s="253"/>
    </row>
    <row r="228" spans="1:62" s="2" customFormat="1" ht="44.25" customHeight="1" x14ac:dyDescent="0.2">
      <c r="A228" s="255"/>
      <c r="B228" s="256"/>
      <c r="C228" s="257"/>
      <c r="D228" s="257"/>
      <c r="E228" s="259"/>
      <c r="F228" s="96"/>
      <c r="G228" s="96"/>
      <c r="H228" s="253"/>
      <c r="I228" s="304"/>
      <c r="J228" s="304"/>
      <c r="K228" s="308"/>
      <c r="L228" s="253"/>
      <c r="M228" s="253"/>
      <c r="N228" s="253"/>
      <c r="O228" s="253"/>
      <c r="P228" s="253"/>
      <c r="Q228" s="253"/>
      <c r="R228" s="253"/>
      <c r="S228" s="253"/>
    </row>
    <row r="229" spans="1:62" s="2" customFormat="1" ht="24.75" customHeight="1" x14ac:dyDescent="0.2">
      <c r="A229" s="255"/>
      <c r="B229" s="256"/>
      <c r="C229" s="257"/>
      <c r="D229" s="257"/>
      <c r="E229" s="259"/>
      <c r="F229" s="96"/>
      <c r="G229" s="96"/>
      <c r="H229" s="253"/>
      <c r="I229" s="304"/>
      <c r="J229" s="304"/>
      <c r="K229" s="308"/>
      <c r="L229" s="253"/>
      <c r="M229" s="253"/>
      <c r="N229" s="253"/>
      <c r="O229" s="253"/>
      <c r="P229" s="253"/>
      <c r="Q229" s="253"/>
      <c r="R229" s="253"/>
      <c r="S229" s="253"/>
    </row>
    <row r="230" spans="1:62" s="2" customFormat="1" ht="29.25" customHeight="1" x14ac:dyDescent="0.2">
      <c r="A230" s="424" t="s">
        <v>1759</v>
      </c>
      <c r="B230" s="424"/>
      <c r="C230" s="424"/>
      <c r="D230" s="424"/>
      <c r="E230" s="195"/>
      <c r="F230" s="195"/>
      <c r="G230" s="195"/>
      <c r="H230" s="253"/>
      <c r="I230" s="34"/>
      <c r="J230" s="253"/>
      <c r="K230" s="308"/>
      <c r="L230" s="253"/>
      <c r="M230" s="253"/>
      <c r="N230" s="253"/>
      <c r="O230" s="253"/>
      <c r="P230" s="253"/>
      <c r="Q230" s="253"/>
      <c r="R230" s="253"/>
      <c r="S230" s="253"/>
      <c r="Y230" s="89"/>
      <c r="BI230" s="89"/>
      <c r="BJ230" s="305"/>
    </row>
    <row r="231" spans="1:62" s="2" customFormat="1" ht="68.25" customHeight="1" x14ac:dyDescent="0.2">
      <c r="A231" s="396" t="s">
        <v>6</v>
      </c>
      <c r="B231" s="386" t="s">
        <v>194</v>
      </c>
      <c r="C231" s="386" t="s">
        <v>9</v>
      </c>
      <c r="D231" s="386" t="s">
        <v>10</v>
      </c>
      <c r="E231" s="200"/>
      <c r="F231" s="428" t="s">
        <v>12</v>
      </c>
      <c r="G231" s="428"/>
      <c r="H231" s="253"/>
      <c r="I231" s="34"/>
      <c r="J231" s="253"/>
      <c r="K231" s="308"/>
      <c r="L231" s="253"/>
      <c r="M231" s="253"/>
      <c r="N231" s="253"/>
      <c r="O231" s="253"/>
      <c r="P231" s="253"/>
      <c r="Q231" s="253"/>
      <c r="R231" s="253"/>
      <c r="S231" s="253"/>
      <c r="Y231" s="89"/>
      <c r="BI231" s="89"/>
      <c r="BJ231" s="305"/>
    </row>
    <row r="232" spans="1:62" s="2" customFormat="1" ht="17.25" customHeight="1" x14ac:dyDescent="0.2">
      <c r="A232" s="95" t="s">
        <v>195</v>
      </c>
      <c r="B232" s="63" t="s">
        <v>196</v>
      </c>
      <c r="C232" s="63" t="s">
        <v>197</v>
      </c>
      <c r="D232" s="63" t="s">
        <v>198</v>
      </c>
      <c r="E232" s="411"/>
      <c r="F232" s="538">
        <v>6</v>
      </c>
      <c r="G232" s="538"/>
      <c r="H232" s="253"/>
      <c r="I232" s="34"/>
      <c r="J232" s="253"/>
      <c r="K232" s="308"/>
      <c r="L232" s="253"/>
      <c r="M232" s="253"/>
      <c r="N232" s="253"/>
      <c r="O232" s="253"/>
      <c r="P232" s="253"/>
      <c r="Q232" s="253"/>
      <c r="R232" s="253"/>
      <c r="S232" s="253"/>
      <c r="Y232" s="89"/>
      <c r="BI232" s="89"/>
      <c r="BJ232" s="305"/>
    </row>
    <row r="233" spans="1:62" s="2" customFormat="1" ht="46.5" customHeight="1" x14ac:dyDescent="0.2">
      <c r="A233" s="396" t="s">
        <v>14</v>
      </c>
      <c r="B233" s="392" t="s">
        <v>227</v>
      </c>
      <c r="C233" s="384" t="s">
        <v>228</v>
      </c>
      <c r="D233" s="85">
        <f>2614.9</f>
        <v>2614.9</v>
      </c>
      <c r="E233" s="96"/>
      <c r="F233" s="539">
        <f>D233+E233</f>
        <v>2614.9</v>
      </c>
      <c r="G233" s="539"/>
      <c r="H233" s="253" t="s">
        <v>125</v>
      </c>
      <c r="I233" s="34"/>
      <c r="J233" s="253"/>
      <c r="K233" s="308"/>
      <c r="L233" s="253"/>
      <c r="M233" s="253"/>
      <c r="N233" s="253"/>
      <c r="O233" s="253"/>
      <c r="P233" s="253"/>
      <c r="Q233" s="253"/>
      <c r="R233" s="253"/>
      <c r="S233" s="253"/>
      <c r="Y233" s="89"/>
      <c r="BI233" s="89"/>
      <c r="BJ233" s="305"/>
    </row>
    <row r="234" spans="1:62" s="2" customFormat="1" ht="38.25" customHeight="1" x14ac:dyDescent="0.2">
      <c r="A234" s="396" t="s">
        <v>229</v>
      </c>
      <c r="B234" s="392" t="s">
        <v>230</v>
      </c>
      <c r="C234" s="384" t="s">
        <v>228</v>
      </c>
      <c r="D234" s="85">
        <v>2595.3000000000002</v>
      </c>
      <c r="E234" s="96"/>
      <c r="F234" s="539">
        <f>D234+E234</f>
        <v>2595.3000000000002</v>
      </c>
      <c r="G234" s="539"/>
      <c r="H234" s="253" t="s">
        <v>125</v>
      </c>
      <c r="I234" s="34"/>
      <c r="J234" s="253"/>
      <c r="K234" s="308"/>
      <c r="L234" s="253"/>
      <c r="M234" s="253"/>
      <c r="N234" s="253"/>
      <c r="O234" s="253"/>
      <c r="P234" s="253"/>
      <c r="Q234" s="253"/>
      <c r="R234" s="253"/>
      <c r="S234" s="253"/>
      <c r="Y234" s="89"/>
      <c r="BI234" s="89"/>
      <c r="BJ234" s="305"/>
    </row>
    <row r="235" spans="1:62" s="2" customFormat="1" ht="24" customHeight="1" x14ac:dyDescent="0.2">
      <c r="A235" s="396" t="s">
        <v>29</v>
      </c>
      <c r="B235" s="392" t="s">
        <v>231</v>
      </c>
      <c r="C235" s="384" t="s">
        <v>228</v>
      </c>
      <c r="D235" s="85">
        <v>2313.5500000000002</v>
      </c>
      <c r="E235" s="96"/>
      <c r="F235" s="539">
        <f>D235+E235</f>
        <v>2313.5500000000002</v>
      </c>
      <c r="G235" s="539"/>
      <c r="H235" s="253"/>
      <c r="I235" s="34"/>
      <c r="J235" s="253"/>
      <c r="K235" s="308"/>
      <c r="L235" s="253"/>
      <c r="M235" s="253"/>
      <c r="N235" s="253"/>
      <c r="O235" s="253"/>
      <c r="P235" s="253"/>
      <c r="Q235" s="253"/>
      <c r="R235" s="253"/>
      <c r="S235" s="253"/>
      <c r="Y235" s="89"/>
      <c r="BI235" s="89"/>
      <c r="BJ235" s="305"/>
    </row>
    <row r="236" spans="1:62" s="2" customFormat="1" ht="18.75" customHeight="1" x14ac:dyDescent="0.2">
      <c r="A236" s="391"/>
      <c r="B236" s="44"/>
      <c r="C236" s="34"/>
      <c r="D236" s="89"/>
      <c r="E236" s="96"/>
      <c r="F236" s="412"/>
      <c r="G236" s="412"/>
      <c r="H236" s="253"/>
      <c r="I236" s="34"/>
      <c r="J236" s="253"/>
      <c r="K236" s="308"/>
      <c r="L236" s="253"/>
      <c r="M236" s="253"/>
      <c r="N236" s="253"/>
      <c r="O236" s="253"/>
      <c r="P236" s="253"/>
      <c r="Q236" s="253"/>
      <c r="R236" s="253"/>
      <c r="S236" s="253"/>
      <c r="Y236" s="89"/>
      <c r="BI236" s="89"/>
      <c r="BJ236" s="305"/>
    </row>
    <row r="237" spans="1:62" s="2" customFormat="1" ht="27.75" customHeight="1" x14ac:dyDescent="0.2">
      <c r="A237" s="424" t="s">
        <v>1760</v>
      </c>
      <c r="B237" s="424"/>
      <c r="C237" s="424"/>
      <c r="D237" s="424"/>
      <c r="E237" s="195"/>
      <c r="F237" s="195"/>
      <c r="G237" s="195"/>
      <c r="H237" s="253"/>
      <c r="I237" s="34"/>
      <c r="J237" s="253"/>
      <c r="K237" s="308"/>
      <c r="L237" s="253"/>
      <c r="M237" s="253"/>
      <c r="N237" s="253"/>
      <c r="O237" s="253"/>
      <c r="P237" s="253"/>
      <c r="Q237" s="253"/>
      <c r="R237" s="253"/>
      <c r="S237" s="253"/>
      <c r="Y237" s="89"/>
      <c r="BI237" s="89"/>
      <c r="BJ237" s="305"/>
    </row>
    <row r="238" spans="1:62" s="2" customFormat="1" ht="46.5" customHeight="1" x14ac:dyDescent="0.2">
      <c r="A238" s="396" t="s">
        <v>6</v>
      </c>
      <c r="B238" s="386" t="s">
        <v>194</v>
      </c>
      <c r="C238" s="386" t="s">
        <v>9</v>
      </c>
      <c r="D238" s="386" t="s">
        <v>10</v>
      </c>
      <c r="E238" s="200"/>
      <c r="F238" s="428" t="s">
        <v>12</v>
      </c>
      <c r="G238" s="428"/>
      <c r="H238" s="253"/>
      <c r="I238" s="34"/>
      <c r="J238" s="253"/>
      <c r="K238" s="308"/>
      <c r="L238" s="253"/>
      <c r="M238" s="253"/>
      <c r="N238" s="253"/>
      <c r="O238" s="253"/>
      <c r="P238" s="253"/>
      <c r="Q238" s="253"/>
      <c r="R238" s="253"/>
      <c r="S238" s="253"/>
      <c r="Y238" s="89"/>
      <c r="BI238" s="89"/>
      <c r="BJ238" s="305"/>
    </row>
    <row r="239" spans="1:62" s="2" customFormat="1" ht="20.25" customHeight="1" x14ac:dyDescent="0.2">
      <c r="A239" s="95" t="s">
        <v>195</v>
      </c>
      <c r="B239" s="63" t="s">
        <v>196</v>
      </c>
      <c r="C239" s="63" t="s">
        <v>197</v>
      </c>
      <c r="D239" s="63" t="s">
        <v>198</v>
      </c>
      <c r="E239" s="411"/>
      <c r="F239" s="538">
        <v>6</v>
      </c>
      <c r="G239" s="538"/>
      <c r="H239" s="253"/>
      <c r="I239" s="34"/>
      <c r="J239" s="253"/>
      <c r="K239" s="308"/>
      <c r="L239" s="253"/>
      <c r="M239" s="253"/>
      <c r="N239" s="253"/>
      <c r="O239" s="253"/>
      <c r="P239" s="253"/>
      <c r="Q239" s="253"/>
      <c r="R239" s="253"/>
      <c r="S239" s="253"/>
      <c r="Y239" s="89"/>
      <c r="BI239" s="89"/>
      <c r="BJ239" s="305"/>
    </row>
    <row r="240" spans="1:62" s="2" customFormat="1" ht="78" customHeight="1" x14ac:dyDescent="0.2">
      <c r="A240" s="396" t="s">
        <v>14</v>
      </c>
      <c r="B240" s="392" t="s">
        <v>232</v>
      </c>
      <c r="C240" s="384" t="s">
        <v>228</v>
      </c>
      <c r="D240" s="85">
        <f>8100.9</f>
        <v>8100.9</v>
      </c>
      <c r="E240" s="96"/>
      <c r="F240" s="539">
        <f>D240+E240</f>
        <v>8100.9</v>
      </c>
      <c r="G240" s="539"/>
      <c r="H240" s="253"/>
      <c r="I240" s="34"/>
      <c r="J240" s="253"/>
      <c r="K240" s="308"/>
      <c r="L240" s="253"/>
      <c r="M240" s="253"/>
      <c r="N240" s="253"/>
      <c r="O240" s="253"/>
      <c r="P240" s="253"/>
      <c r="Q240" s="253"/>
      <c r="R240" s="253"/>
      <c r="S240" s="253"/>
      <c r="Y240" s="89"/>
      <c r="BI240" s="89"/>
      <c r="BJ240" s="305"/>
    </row>
    <row r="241" spans="1:62" s="2" customFormat="1" ht="25.5" customHeight="1" x14ac:dyDescent="0.2">
      <c r="A241" s="391"/>
      <c r="B241" s="44"/>
      <c r="C241" s="34"/>
      <c r="D241" s="89"/>
      <c r="E241" s="96"/>
      <c r="F241" s="412"/>
      <c r="G241" s="412"/>
      <c r="H241" s="253"/>
      <c r="I241" s="34"/>
      <c r="J241" s="253"/>
      <c r="K241" s="308"/>
      <c r="L241" s="253"/>
      <c r="M241" s="253"/>
      <c r="N241" s="253"/>
      <c r="O241" s="253"/>
      <c r="P241" s="253"/>
      <c r="Q241" s="253"/>
      <c r="R241" s="253"/>
      <c r="S241" s="253"/>
      <c r="Y241" s="89"/>
      <c r="BI241" s="89"/>
      <c r="BJ241" s="305"/>
    </row>
    <row r="242" spans="1:62" s="2" customFormat="1" ht="52.5" customHeight="1" x14ac:dyDescent="0.2">
      <c r="A242" s="540" t="s">
        <v>2038</v>
      </c>
      <c r="B242" s="540"/>
      <c r="C242" s="540"/>
      <c r="D242" s="540"/>
      <c r="E242" s="201"/>
      <c r="F242" s="201"/>
      <c r="G242" s="412"/>
      <c r="H242" s="253"/>
      <c r="I242" s="34"/>
      <c r="J242" s="253"/>
      <c r="K242" s="308"/>
      <c r="L242" s="253"/>
      <c r="M242" s="253"/>
      <c r="N242" s="253"/>
      <c r="O242" s="253"/>
      <c r="P242" s="253"/>
      <c r="Q242" s="253"/>
      <c r="R242" s="253"/>
      <c r="S242" s="253"/>
      <c r="Y242" s="89"/>
      <c r="BI242" s="89"/>
      <c r="BJ242" s="305"/>
    </row>
    <row r="243" spans="1:62" s="2" customFormat="1" ht="46.5" customHeight="1" x14ac:dyDescent="0.2">
      <c r="A243" s="396" t="s">
        <v>6</v>
      </c>
      <c r="B243" s="386" t="s">
        <v>194</v>
      </c>
      <c r="C243" s="386" t="s">
        <v>9</v>
      </c>
      <c r="D243" s="386" t="s">
        <v>10</v>
      </c>
      <c r="E243" s="200"/>
      <c r="F243" s="371" t="s">
        <v>12</v>
      </c>
      <c r="G243" s="412"/>
      <c r="H243" s="253"/>
      <c r="I243" s="34"/>
      <c r="J243" s="253"/>
      <c r="K243" s="308"/>
      <c r="L243" s="253"/>
      <c r="M243" s="253"/>
      <c r="N243" s="253"/>
      <c r="O243" s="253"/>
      <c r="P243" s="253"/>
      <c r="Q243" s="253"/>
      <c r="R243" s="253"/>
      <c r="S243" s="253"/>
      <c r="Y243" s="89"/>
      <c r="BI243" s="89"/>
      <c r="BJ243" s="305"/>
    </row>
    <row r="244" spans="1:62" s="2" customFormat="1" ht="19.5" customHeight="1" x14ac:dyDescent="0.2">
      <c r="A244" s="396" t="s">
        <v>195</v>
      </c>
      <c r="B244" s="386" t="s">
        <v>196</v>
      </c>
      <c r="C244" s="386" t="s">
        <v>197</v>
      </c>
      <c r="D244" s="386" t="s">
        <v>198</v>
      </c>
      <c r="E244" s="202"/>
      <c r="F244" s="202">
        <v>6</v>
      </c>
      <c r="G244" s="412"/>
      <c r="H244" s="253"/>
      <c r="I244" s="34"/>
      <c r="J244" s="253"/>
      <c r="K244" s="308"/>
      <c r="L244" s="253"/>
      <c r="M244" s="253"/>
      <c r="N244" s="253"/>
      <c r="O244" s="253"/>
      <c r="P244" s="253"/>
      <c r="Q244" s="253"/>
      <c r="R244" s="253"/>
      <c r="S244" s="253"/>
      <c r="Y244" s="89"/>
      <c r="BI244" s="89"/>
      <c r="BJ244" s="305"/>
    </row>
    <row r="245" spans="1:62" s="2" customFormat="1" ht="46.5" customHeight="1" x14ac:dyDescent="0.2">
      <c r="A245" s="447" t="s">
        <v>233</v>
      </c>
      <c r="B245" s="447"/>
      <c r="C245" s="447"/>
      <c r="D245" s="447"/>
      <c r="E245" s="203"/>
      <c r="F245" s="203"/>
      <c r="G245" s="412"/>
      <c r="H245" s="253"/>
      <c r="I245" s="34"/>
      <c r="J245" s="253"/>
      <c r="K245" s="308"/>
      <c r="L245" s="253"/>
      <c r="M245" s="253"/>
      <c r="N245" s="253"/>
      <c r="O245" s="253"/>
      <c r="P245" s="253"/>
      <c r="Q245" s="253"/>
      <c r="R245" s="253"/>
      <c r="S245" s="253"/>
      <c r="Y245" s="89"/>
      <c r="BI245" s="89"/>
      <c r="BJ245" s="305"/>
    </row>
    <row r="246" spans="1:62" s="2" customFormat="1" ht="20.25" customHeight="1" x14ac:dyDescent="0.2">
      <c r="A246" s="458" t="s">
        <v>234</v>
      </c>
      <c r="B246" s="458"/>
      <c r="C246" s="458"/>
      <c r="D246" s="458"/>
      <c r="E246" s="204"/>
      <c r="F246" s="204"/>
      <c r="G246" s="412"/>
      <c r="H246" s="253"/>
      <c r="I246" s="34"/>
      <c r="J246" s="253"/>
      <c r="K246" s="308"/>
      <c r="L246" s="253"/>
      <c r="M246" s="253"/>
      <c r="N246" s="253"/>
      <c r="O246" s="253"/>
      <c r="P246" s="253"/>
      <c r="Q246" s="253"/>
      <c r="R246" s="253"/>
      <c r="S246" s="253"/>
      <c r="Y246" s="89"/>
      <c r="BI246" s="89"/>
      <c r="BJ246" s="305"/>
    </row>
    <row r="247" spans="1:62" s="2" customFormat="1" ht="37.5" hidden="1" customHeight="1" x14ac:dyDescent="0.2">
      <c r="A247" s="250" t="s">
        <v>195</v>
      </c>
      <c r="B247" s="381" t="s">
        <v>235</v>
      </c>
      <c r="C247" s="379" t="s">
        <v>236</v>
      </c>
      <c r="D247" s="13">
        <v>300.58</v>
      </c>
      <c r="E247" s="96">
        <f>D247*20%</f>
        <v>60.12</v>
      </c>
      <c r="F247" s="154">
        <f>D247+E247</f>
        <v>360.7</v>
      </c>
      <c r="G247" s="412"/>
      <c r="H247" s="253"/>
      <c r="I247" s="34"/>
      <c r="J247" s="253"/>
      <c r="K247" s="308"/>
      <c r="L247" s="253"/>
      <c r="M247" s="253"/>
      <c r="N247" s="253"/>
      <c r="O247" s="253"/>
      <c r="P247" s="253"/>
      <c r="Q247" s="253"/>
      <c r="R247" s="253"/>
      <c r="S247" s="253"/>
      <c r="Y247" s="89"/>
      <c r="BI247" s="89"/>
      <c r="BJ247" s="305"/>
    </row>
    <row r="248" spans="1:62" s="2" customFormat="1" ht="36" hidden="1" customHeight="1" x14ac:dyDescent="0.2">
      <c r="A248" s="250" t="s">
        <v>196</v>
      </c>
      <c r="B248" s="98" t="s">
        <v>237</v>
      </c>
      <c r="C248" s="379" t="s">
        <v>236</v>
      </c>
      <c r="D248" s="13">
        <v>376.47</v>
      </c>
      <c r="E248" s="96">
        <f>D248*20%</f>
        <v>75.290000000000006</v>
      </c>
      <c r="F248" s="154">
        <f>D248+E248</f>
        <v>451.76</v>
      </c>
      <c r="G248" s="412"/>
      <c r="H248" s="253"/>
      <c r="I248" s="34"/>
      <c r="J248" s="253"/>
      <c r="K248" s="308"/>
      <c r="L248" s="253"/>
      <c r="M248" s="253"/>
      <c r="N248" s="253"/>
      <c r="O248" s="253"/>
      <c r="P248" s="253"/>
      <c r="Q248" s="253"/>
      <c r="R248" s="253"/>
      <c r="S248" s="253"/>
      <c r="Y248" s="89"/>
      <c r="BI248" s="89"/>
      <c r="BJ248" s="305"/>
    </row>
    <row r="249" spans="1:62" s="2" customFormat="1" ht="27" customHeight="1" x14ac:dyDescent="0.2">
      <c r="A249" s="250" t="s">
        <v>195</v>
      </c>
      <c r="B249" s="437" t="s">
        <v>238</v>
      </c>
      <c r="C249" s="437"/>
      <c r="D249" s="437"/>
      <c r="E249" s="205"/>
      <c r="F249" s="205"/>
      <c r="G249" s="412"/>
      <c r="H249" s="253"/>
      <c r="I249" s="34"/>
      <c r="J249" s="253"/>
      <c r="K249" s="308"/>
      <c r="L249" s="253"/>
      <c r="M249" s="253"/>
      <c r="N249" s="253"/>
      <c r="O249" s="253"/>
      <c r="P249" s="253"/>
      <c r="Q249" s="253"/>
      <c r="R249" s="253"/>
      <c r="S249" s="253"/>
      <c r="Y249" s="89"/>
      <c r="BI249" s="89"/>
      <c r="BJ249" s="305"/>
    </row>
    <row r="250" spans="1:62" s="2" customFormat="1" ht="23.25" customHeight="1" x14ac:dyDescent="0.2">
      <c r="A250" s="250" t="s">
        <v>1761</v>
      </c>
      <c r="B250" s="381" t="s">
        <v>240</v>
      </c>
      <c r="C250" s="122" t="s">
        <v>1666</v>
      </c>
      <c r="D250" s="13">
        <v>593.16999999999996</v>
      </c>
      <c r="E250" s="96"/>
      <c r="F250" s="154">
        <f t="shared" ref="F250:F257" si="9">D250+E250</f>
        <v>593.16999999999996</v>
      </c>
      <c r="G250" s="412"/>
      <c r="H250" s="253"/>
      <c r="I250" s="34"/>
      <c r="J250" s="253"/>
      <c r="K250" s="308"/>
      <c r="L250" s="253"/>
      <c r="M250" s="253"/>
      <c r="N250" s="253"/>
      <c r="O250" s="253"/>
      <c r="P250" s="253"/>
      <c r="Q250" s="253"/>
      <c r="R250" s="253"/>
      <c r="S250" s="253"/>
      <c r="Y250" s="89"/>
      <c r="BI250" s="89"/>
      <c r="BJ250" s="305"/>
    </row>
    <row r="251" spans="1:62" s="2" customFormat="1" ht="20.25" customHeight="1" x14ac:dyDescent="0.2">
      <c r="A251" s="250" t="s">
        <v>1762</v>
      </c>
      <c r="B251" s="381" t="s">
        <v>242</v>
      </c>
      <c r="C251" s="122" t="s">
        <v>1666</v>
      </c>
      <c r="D251" s="13">
        <v>593.16999999999996</v>
      </c>
      <c r="E251" s="96"/>
      <c r="F251" s="154">
        <f t="shared" si="9"/>
        <v>593.16999999999996</v>
      </c>
      <c r="G251" s="412"/>
      <c r="H251" s="253"/>
      <c r="I251" s="34"/>
      <c r="J251" s="253"/>
      <c r="K251" s="308"/>
      <c r="L251" s="253"/>
      <c r="M251" s="253"/>
      <c r="N251" s="253"/>
      <c r="O251" s="253"/>
      <c r="P251" s="253"/>
      <c r="Q251" s="253"/>
      <c r="R251" s="253"/>
      <c r="S251" s="253"/>
      <c r="Y251" s="89"/>
      <c r="BI251" s="89"/>
      <c r="BJ251" s="305"/>
    </row>
    <row r="252" spans="1:62" s="2" customFormat="1" ht="17.25" customHeight="1" x14ac:dyDescent="0.2">
      <c r="A252" s="250" t="s">
        <v>1763</v>
      </c>
      <c r="B252" s="381" t="s">
        <v>244</v>
      </c>
      <c r="C252" s="122" t="s">
        <v>1666</v>
      </c>
      <c r="D252" s="13">
        <v>593.16999999999996</v>
      </c>
      <c r="E252" s="96"/>
      <c r="F252" s="154">
        <f t="shared" si="9"/>
        <v>593.16999999999996</v>
      </c>
      <c r="G252" s="412"/>
      <c r="H252" s="253"/>
      <c r="I252" s="34"/>
      <c r="J252" s="253"/>
      <c r="K252" s="308"/>
      <c r="L252" s="253"/>
      <c r="M252" s="253"/>
      <c r="N252" s="253"/>
      <c r="O252" s="253"/>
      <c r="P252" s="253"/>
      <c r="Q252" s="253"/>
      <c r="R252" s="253"/>
      <c r="S252" s="253"/>
      <c r="Y252" s="89"/>
      <c r="BI252" s="89"/>
      <c r="BJ252" s="305"/>
    </row>
    <row r="253" spans="1:62" s="2" customFormat="1" ht="20.25" customHeight="1" x14ac:dyDescent="0.2">
      <c r="A253" s="250" t="s">
        <v>1764</v>
      </c>
      <c r="B253" s="381" t="s">
        <v>246</v>
      </c>
      <c r="C253" s="122" t="s">
        <v>1666</v>
      </c>
      <c r="D253" s="13">
        <v>593.16999999999996</v>
      </c>
      <c r="E253" s="96"/>
      <c r="F253" s="154">
        <f t="shared" si="9"/>
        <v>593.16999999999996</v>
      </c>
      <c r="G253" s="412"/>
      <c r="H253" s="253"/>
      <c r="I253" s="34"/>
      <c r="J253" s="253"/>
      <c r="K253" s="308"/>
      <c r="L253" s="253"/>
      <c r="M253" s="253"/>
      <c r="N253" s="253"/>
      <c r="O253" s="253"/>
      <c r="P253" s="253"/>
      <c r="Q253" s="253"/>
      <c r="R253" s="253"/>
      <c r="S253" s="253"/>
      <c r="Y253" s="89"/>
      <c r="BI253" s="89"/>
      <c r="BJ253" s="305"/>
    </row>
    <row r="254" spans="1:62" s="2" customFormat="1" ht="19.5" customHeight="1" x14ac:dyDescent="0.2">
      <c r="A254" s="250" t="s">
        <v>1765</v>
      </c>
      <c r="B254" s="381" t="s">
        <v>248</v>
      </c>
      <c r="C254" s="122" t="s">
        <v>1666</v>
      </c>
      <c r="D254" s="13">
        <v>593.16999999999996</v>
      </c>
      <c r="E254" s="96"/>
      <c r="F254" s="154">
        <f t="shared" si="9"/>
        <v>593.16999999999996</v>
      </c>
      <c r="G254" s="412"/>
      <c r="H254" s="253"/>
      <c r="I254" s="34"/>
      <c r="J254" s="253"/>
      <c r="K254" s="308"/>
      <c r="L254" s="253"/>
      <c r="M254" s="253"/>
      <c r="N254" s="253"/>
      <c r="O254" s="253"/>
      <c r="P254" s="253"/>
      <c r="Q254" s="253"/>
      <c r="R254" s="253"/>
      <c r="S254" s="253"/>
      <c r="Y254" s="89"/>
      <c r="BI254" s="89"/>
      <c r="BJ254" s="305"/>
    </row>
    <row r="255" spans="1:62" s="2" customFormat="1" ht="23.25" customHeight="1" x14ac:dyDescent="0.2">
      <c r="A255" s="250" t="s">
        <v>1766</v>
      </c>
      <c r="B255" s="381" t="s">
        <v>250</v>
      </c>
      <c r="C255" s="122" t="s">
        <v>1666</v>
      </c>
      <c r="D255" s="13">
        <v>593.16999999999996</v>
      </c>
      <c r="E255" s="96"/>
      <c r="F255" s="154">
        <f t="shared" si="9"/>
        <v>593.16999999999996</v>
      </c>
      <c r="G255" s="412"/>
      <c r="H255" s="253"/>
      <c r="I255" s="34"/>
      <c r="J255" s="253"/>
      <c r="K255" s="308"/>
      <c r="L255" s="253"/>
      <c r="M255" s="253"/>
      <c r="N255" s="253"/>
      <c r="O255" s="253"/>
      <c r="P255" s="253"/>
      <c r="Q255" s="253"/>
      <c r="R255" s="253"/>
      <c r="S255" s="253"/>
      <c r="Y255" s="89"/>
      <c r="BI255" s="89"/>
      <c r="BJ255" s="305"/>
    </row>
    <row r="256" spans="1:62" s="2" customFormat="1" ht="21" customHeight="1" x14ac:dyDescent="0.2">
      <c r="A256" s="250" t="s">
        <v>1767</v>
      </c>
      <c r="B256" s="381" t="s">
        <v>252</v>
      </c>
      <c r="C256" s="122" t="s">
        <v>1666</v>
      </c>
      <c r="D256" s="13">
        <v>593.16999999999996</v>
      </c>
      <c r="E256" s="96"/>
      <c r="F256" s="154">
        <f t="shared" si="9"/>
        <v>593.16999999999996</v>
      </c>
      <c r="G256" s="412"/>
      <c r="H256" s="253"/>
      <c r="I256" s="34"/>
      <c r="J256" s="253"/>
      <c r="K256" s="308"/>
      <c r="L256" s="253"/>
      <c r="M256" s="253"/>
      <c r="N256" s="253"/>
      <c r="O256" s="253"/>
      <c r="P256" s="253"/>
      <c r="Q256" s="253"/>
      <c r="R256" s="253"/>
      <c r="S256" s="253"/>
      <c r="Y256" s="89"/>
      <c r="BI256" s="89"/>
      <c r="BJ256" s="305"/>
    </row>
    <row r="257" spans="1:62" s="2" customFormat="1" ht="27.75" customHeight="1" x14ac:dyDescent="0.2">
      <c r="A257" s="250" t="s">
        <v>1768</v>
      </c>
      <c r="B257" s="381" t="s">
        <v>254</v>
      </c>
      <c r="C257" s="122" t="s">
        <v>1666</v>
      </c>
      <c r="D257" s="13">
        <v>593.16999999999996</v>
      </c>
      <c r="E257" s="96"/>
      <c r="F257" s="154">
        <f t="shared" si="9"/>
        <v>593.16999999999996</v>
      </c>
      <c r="G257" s="412"/>
      <c r="H257" s="253"/>
      <c r="I257" s="34"/>
      <c r="J257" s="253"/>
      <c r="K257" s="308"/>
      <c r="L257" s="253"/>
      <c r="M257" s="253"/>
      <c r="N257" s="253"/>
      <c r="O257" s="253"/>
      <c r="P257" s="253"/>
      <c r="Q257" s="253"/>
      <c r="R257" s="253"/>
      <c r="S257" s="253"/>
      <c r="Y257" s="89"/>
      <c r="BI257" s="89"/>
      <c r="BJ257" s="305"/>
    </row>
    <row r="258" spans="1:62" s="2" customFormat="1" ht="29.25" customHeight="1" x14ac:dyDescent="0.2">
      <c r="A258" s="396" t="s">
        <v>196</v>
      </c>
      <c r="B258" s="437" t="s">
        <v>258</v>
      </c>
      <c r="C258" s="437"/>
      <c r="D258" s="437"/>
      <c r="E258" s="205"/>
      <c r="F258" s="205"/>
      <c r="G258" s="412"/>
      <c r="H258" s="253"/>
      <c r="I258" s="34"/>
      <c r="J258" s="253"/>
      <c r="K258" s="308"/>
      <c r="L258" s="253"/>
      <c r="M258" s="253"/>
      <c r="N258" s="253"/>
      <c r="O258" s="253"/>
      <c r="P258" s="253"/>
      <c r="Q258" s="253"/>
      <c r="R258" s="253"/>
      <c r="S258" s="253"/>
      <c r="Y258" s="89"/>
      <c r="BI258" s="89"/>
      <c r="BJ258" s="305"/>
    </row>
    <row r="259" spans="1:62" s="2" customFormat="1" ht="25.5" customHeight="1" x14ac:dyDescent="0.2">
      <c r="A259" s="250" t="s">
        <v>563</v>
      </c>
      <c r="B259" s="381" t="s">
        <v>260</v>
      </c>
      <c r="C259" s="122" t="s">
        <v>1666</v>
      </c>
      <c r="D259" s="13">
        <v>1146.02</v>
      </c>
      <c r="E259" s="96"/>
      <c r="F259" s="154">
        <f t="shared" ref="F259:F264" si="10">D259+E259</f>
        <v>1146.02</v>
      </c>
      <c r="G259" s="412"/>
      <c r="H259" s="253"/>
      <c r="I259" s="34"/>
      <c r="J259" s="253"/>
      <c r="K259" s="308"/>
      <c r="L259" s="253"/>
      <c r="M259" s="253"/>
      <c r="N259" s="253"/>
      <c r="O259" s="253"/>
      <c r="P259" s="253"/>
      <c r="Q259" s="253"/>
      <c r="R259" s="253"/>
      <c r="S259" s="253"/>
      <c r="Y259" s="89"/>
      <c r="BI259" s="89"/>
      <c r="BJ259" s="305"/>
    </row>
    <row r="260" spans="1:62" s="2" customFormat="1" ht="21.75" customHeight="1" x14ac:dyDescent="0.2">
      <c r="A260" s="250" t="s">
        <v>565</v>
      </c>
      <c r="B260" s="381" t="s">
        <v>262</v>
      </c>
      <c r="C260" s="122" t="s">
        <v>1666</v>
      </c>
      <c r="D260" s="13">
        <v>1146.02</v>
      </c>
      <c r="E260" s="96"/>
      <c r="F260" s="154">
        <f t="shared" si="10"/>
        <v>1146.02</v>
      </c>
      <c r="G260" s="412"/>
      <c r="H260" s="253"/>
      <c r="I260" s="34"/>
      <c r="J260" s="253"/>
      <c r="K260" s="308"/>
      <c r="L260" s="253"/>
      <c r="M260" s="253"/>
      <c r="N260" s="253"/>
      <c r="O260" s="253"/>
      <c r="P260" s="253"/>
      <c r="Q260" s="253"/>
      <c r="R260" s="253"/>
      <c r="S260" s="253"/>
      <c r="Y260" s="89"/>
      <c r="BI260" s="89"/>
      <c r="BJ260" s="305"/>
    </row>
    <row r="261" spans="1:62" s="2" customFormat="1" ht="21.75" customHeight="1" x14ac:dyDescent="0.2">
      <c r="A261" s="250" t="s">
        <v>567</v>
      </c>
      <c r="B261" s="381" t="s">
        <v>264</v>
      </c>
      <c r="C261" s="122" t="s">
        <v>1666</v>
      </c>
      <c r="D261" s="13">
        <v>1146.02</v>
      </c>
      <c r="E261" s="96"/>
      <c r="F261" s="154">
        <f t="shared" si="10"/>
        <v>1146.02</v>
      </c>
      <c r="G261" s="412"/>
      <c r="H261" s="253"/>
      <c r="I261" s="34"/>
      <c r="J261" s="253"/>
      <c r="K261" s="308"/>
      <c r="L261" s="253"/>
      <c r="M261" s="253"/>
      <c r="N261" s="253"/>
      <c r="O261" s="253"/>
      <c r="P261" s="253"/>
      <c r="Q261" s="253"/>
      <c r="R261" s="253"/>
      <c r="S261" s="253"/>
      <c r="Y261" s="89"/>
      <c r="BI261" s="89"/>
      <c r="BJ261" s="305"/>
    </row>
    <row r="262" spans="1:62" s="2" customFormat="1" ht="30.75" customHeight="1" x14ac:dyDescent="0.2">
      <c r="A262" s="250" t="s">
        <v>569</v>
      </c>
      <c r="B262" s="381" t="s">
        <v>266</v>
      </c>
      <c r="C262" s="122" t="s">
        <v>1666</v>
      </c>
      <c r="D262" s="13">
        <v>1251.31</v>
      </c>
      <c r="E262" s="96"/>
      <c r="F262" s="154">
        <f t="shared" si="10"/>
        <v>1251.31</v>
      </c>
      <c r="G262" s="412"/>
      <c r="H262" s="253"/>
      <c r="I262" s="34"/>
      <c r="J262" s="253"/>
      <c r="K262" s="308"/>
      <c r="L262" s="253"/>
      <c r="M262" s="253"/>
      <c r="N262" s="253"/>
      <c r="O262" s="253"/>
      <c r="P262" s="253"/>
      <c r="Q262" s="253"/>
      <c r="R262" s="253"/>
      <c r="S262" s="253"/>
      <c r="Y262" s="89"/>
      <c r="BI262" s="89"/>
      <c r="BJ262" s="305"/>
    </row>
    <row r="263" spans="1:62" s="2" customFormat="1" ht="17.25" customHeight="1" x14ac:dyDescent="0.2">
      <c r="A263" s="250" t="s">
        <v>571</v>
      </c>
      <c r="B263" s="381" t="s">
        <v>268</v>
      </c>
      <c r="C263" s="122" t="s">
        <v>1666</v>
      </c>
      <c r="D263" s="13">
        <v>1251.31</v>
      </c>
      <c r="E263" s="96"/>
      <c r="F263" s="154">
        <f t="shared" si="10"/>
        <v>1251.31</v>
      </c>
      <c r="G263" s="412"/>
      <c r="H263" s="253"/>
      <c r="I263" s="34"/>
      <c r="J263" s="253"/>
      <c r="K263" s="308"/>
      <c r="L263" s="253"/>
      <c r="M263" s="253"/>
      <c r="N263" s="253"/>
      <c r="O263" s="253"/>
      <c r="P263" s="253"/>
      <c r="Q263" s="253"/>
      <c r="R263" s="253"/>
      <c r="S263" s="253"/>
      <c r="Y263" s="89"/>
      <c r="BI263" s="89"/>
      <c r="BJ263" s="305"/>
    </row>
    <row r="264" spans="1:62" s="2" customFormat="1" ht="18" customHeight="1" x14ac:dyDescent="0.2">
      <c r="A264" s="250" t="s">
        <v>573</v>
      </c>
      <c r="B264" s="381" t="s">
        <v>270</v>
      </c>
      <c r="C264" s="122" t="s">
        <v>1666</v>
      </c>
      <c r="D264" s="13">
        <v>1251.31</v>
      </c>
      <c r="E264" s="96"/>
      <c r="F264" s="154">
        <f t="shared" si="10"/>
        <v>1251.31</v>
      </c>
      <c r="G264" s="412"/>
      <c r="H264" s="253"/>
      <c r="I264" s="34"/>
      <c r="J264" s="253"/>
      <c r="K264" s="308"/>
      <c r="L264" s="253"/>
      <c r="M264" s="253"/>
      <c r="N264" s="253"/>
      <c r="O264" s="253"/>
      <c r="P264" s="253"/>
      <c r="Q264" s="253"/>
      <c r="R264" s="253"/>
      <c r="S264" s="253"/>
      <c r="Y264" s="89"/>
      <c r="BI264" s="89"/>
      <c r="BJ264" s="305"/>
    </row>
    <row r="265" spans="1:62" s="2" customFormat="1" ht="36" customHeight="1" x14ac:dyDescent="0.2">
      <c r="A265" s="250" t="s">
        <v>575</v>
      </c>
      <c r="B265" s="381" t="s">
        <v>272</v>
      </c>
      <c r="C265" s="122" t="s">
        <v>1666</v>
      </c>
      <c r="D265" s="13">
        <v>1251.31</v>
      </c>
      <c r="E265" s="96"/>
      <c r="F265" s="154">
        <f>D265+E265</f>
        <v>1251.31</v>
      </c>
      <c r="G265" s="412"/>
      <c r="H265" s="253"/>
      <c r="I265" s="34"/>
      <c r="J265" s="253"/>
      <c r="K265" s="308"/>
      <c r="L265" s="253"/>
      <c r="M265" s="253"/>
      <c r="N265" s="253"/>
      <c r="O265" s="253"/>
      <c r="P265" s="253"/>
      <c r="Q265" s="253"/>
      <c r="R265" s="253"/>
      <c r="S265" s="253"/>
      <c r="Y265" s="89"/>
      <c r="BI265" s="89"/>
      <c r="BJ265" s="305"/>
    </row>
    <row r="266" spans="1:62" s="2" customFormat="1" ht="36.75" customHeight="1" x14ac:dyDescent="0.2">
      <c r="A266" s="250" t="s">
        <v>197</v>
      </c>
      <c r="B266" s="437" t="s">
        <v>1927</v>
      </c>
      <c r="C266" s="437"/>
      <c r="D266" s="437"/>
      <c r="E266" s="205"/>
      <c r="F266" s="205"/>
      <c r="G266" s="412"/>
      <c r="H266" s="253"/>
      <c r="I266" s="34"/>
      <c r="J266" s="253"/>
      <c r="K266" s="308"/>
      <c r="L266" s="253"/>
      <c r="M266" s="253"/>
      <c r="N266" s="253"/>
      <c r="O266" s="253"/>
      <c r="P266" s="253"/>
      <c r="Q266" s="253"/>
      <c r="R266" s="253"/>
      <c r="S266" s="253"/>
      <c r="Y266" s="89"/>
      <c r="BI266" s="89"/>
      <c r="BJ266" s="305"/>
    </row>
    <row r="267" spans="1:62" s="2" customFormat="1" ht="20.25" customHeight="1" x14ac:dyDescent="0.2">
      <c r="A267" s="250" t="s">
        <v>239</v>
      </c>
      <c r="B267" s="381" t="s">
        <v>275</v>
      </c>
      <c r="C267" s="122" t="s">
        <v>1666</v>
      </c>
      <c r="D267" s="13">
        <v>1191.8599999999999</v>
      </c>
      <c r="E267" s="96"/>
      <c r="F267" s="154">
        <f t="shared" ref="F267:F274" si="11">D267+E267</f>
        <v>1191.8599999999999</v>
      </c>
      <c r="G267" s="412"/>
      <c r="H267" s="253"/>
      <c r="I267" s="34"/>
      <c r="J267" s="253"/>
      <c r="K267" s="308"/>
      <c r="L267" s="253"/>
      <c r="M267" s="253"/>
      <c r="N267" s="253"/>
      <c r="O267" s="253"/>
      <c r="P267" s="253"/>
      <c r="Q267" s="253"/>
      <c r="R267" s="253"/>
      <c r="S267" s="253"/>
      <c r="Y267" s="89"/>
      <c r="BI267" s="89"/>
      <c r="BJ267" s="305"/>
    </row>
    <row r="268" spans="1:62" s="2" customFormat="1" ht="23.25" customHeight="1" x14ac:dyDescent="0.2">
      <c r="A268" s="250" t="s">
        <v>241</v>
      </c>
      <c r="B268" s="381" t="s">
        <v>277</v>
      </c>
      <c r="C268" s="122" t="s">
        <v>1666</v>
      </c>
      <c r="D268" s="13">
        <v>1191.8599999999999</v>
      </c>
      <c r="E268" s="96"/>
      <c r="F268" s="154">
        <f t="shared" si="11"/>
        <v>1191.8599999999999</v>
      </c>
      <c r="G268" s="412"/>
      <c r="H268" s="253"/>
      <c r="I268" s="34"/>
      <c r="J268" s="253"/>
      <c r="K268" s="308"/>
      <c r="L268" s="253"/>
      <c r="M268" s="253"/>
      <c r="N268" s="253"/>
      <c r="O268" s="253"/>
      <c r="P268" s="253"/>
      <c r="Q268" s="253"/>
      <c r="R268" s="253"/>
      <c r="S268" s="253"/>
      <c r="Y268" s="89"/>
      <c r="BI268" s="89"/>
      <c r="BJ268" s="305"/>
    </row>
    <row r="269" spans="1:62" s="2" customFormat="1" ht="31.5" customHeight="1" x14ac:dyDescent="0.2">
      <c r="A269" s="250" t="s">
        <v>243</v>
      </c>
      <c r="B269" s="381" t="s">
        <v>279</v>
      </c>
      <c r="C269" s="122" t="s">
        <v>1666</v>
      </c>
      <c r="D269" s="13">
        <v>1301.3599999999999</v>
      </c>
      <c r="E269" s="96"/>
      <c r="F269" s="154">
        <f t="shared" si="11"/>
        <v>1301.3599999999999</v>
      </c>
      <c r="G269" s="412"/>
      <c r="H269" s="253"/>
      <c r="I269" s="34"/>
      <c r="J269" s="253"/>
      <c r="K269" s="308"/>
      <c r="L269" s="253"/>
      <c r="M269" s="253"/>
      <c r="N269" s="253"/>
      <c r="O269" s="253"/>
      <c r="P269" s="253"/>
      <c r="Q269" s="253"/>
      <c r="R269" s="253"/>
      <c r="S269" s="253"/>
      <c r="Y269" s="89"/>
      <c r="BI269" s="89"/>
      <c r="BJ269" s="305"/>
    </row>
    <row r="270" spans="1:62" s="2" customFormat="1" ht="24" customHeight="1" x14ac:dyDescent="0.2">
      <c r="A270" s="250" t="s">
        <v>245</v>
      </c>
      <c r="B270" s="381" t="s">
        <v>281</v>
      </c>
      <c r="C270" s="122" t="s">
        <v>1666</v>
      </c>
      <c r="D270" s="13">
        <v>1301.3599999999999</v>
      </c>
      <c r="E270" s="96"/>
      <c r="F270" s="154">
        <f t="shared" si="11"/>
        <v>1301.3599999999999</v>
      </c>
      <c r="G270" s="412"/>
      <c r="H270" s="253"/>
      <c r="I270" s="34"/>
      <c r="J270" s="253"/>
      <c r="K270" s="308"/>
      <c r="L270" s="253"/>
      <c r="M270" s="253"/>
      <c r="N270" s="253"/>
      <c r="O270" s="253"/>
      <c r="P270" s="253"/>
      <c r="Q270" s="253"/>
      <c r="R270" s="253"/>
      <c r="S270" s="253"/>
      <c r="Y270" s="89"/>
      <c r="BI270" s="89"/>
      <c r="BJ270" s="305"/>
    </row>
    <row r="271" spans="1:62" s="2" customFormat="1" ht="19.5" customHeight="1" x14ac:dyDescent="0.2">
      <c r="A271" s="250" t="s">
        <v>247</v>
      </c>
      <c r="B271" s="381" t="s">
        <v>283</v>
      </c>
      <c r="C271" s="122" t="s">
        <v>1666</v>
      </c>
      <c r="D271" s="13">
        <v>1301.3599999999999</v>
      </c>
      <c r="E271" s="96"/>
      <c r="F271" s="154">
        <f t="shared" si="11"/>
        <v>1301.3599999999999</v>
      </c>
      <c r="G271" s="412"/>
      <c r="H271" s="253"/>
      <c r="I271" s="34"/>
      <c r="J271" s="253"/>
      <c r="K271" s="308"/>
      <c r="L271" s="253"/>
      <c r="M271" s="253"/>
      <c r="N271" s="253"/>
      <c r="O271" s="253"/>
      <c r="P271" s="253"/>
      <c r="Q271" s="253"/>
      <c r="R271" s="253"/>
      <c r="S271" s="253"/>
      <c r="Y271" s="89"/>
      <c r="BI271" s="89"/>
      <c r="BJ271" s="305"/>
    </row>
    <row r="272" spans="1:62" s="2" customFormat="1" ht="20.25" customHeight="1" x14ac:dyDescent="0.2">
      <c r="A272" s="250" t="s">
        <v>249</v>
      </c>
      <c r="B272" s="381" t="s">
        <v>285</v>
      </c>
      <c r="C272" s="122" t="s">
        <v>1666</v>
      </c>
      <c r="D272" s="13">
        <v>1191.8599999999999</v>
      </c>
      <c r="E272" s="96"/>
      <c r="F272" s="154">
        <f t="shared" si="11"/>
        <v>1191.8599999999999</v>
      </c>
      <c r="G272" s="412"/>
      <c r="H272" s="253"/>
      <c r="I272" s="34"/>
      <c r="J272" s="253"/>
      <c r="K272" s="308"/>
      <c r="L272" s="253"/>
      <c r="M272" s="253"/>
      <c r="N272" s="253"/>
      <c r="O272" s="253"/>
      <c r="P272" s="253"/>
      <c r="Q272" s="253"/>
      <c r="R272" s="253"/>
      <c r="S272" s="253"/>
      <c r="Y272" s="89"/>
      <c r="BI272" s="89"/>
      <c r="BJ272" s="305"/>
    </row>
    <row r="273" spans="1:62" s="2" customFormat="1" ht="21" customHeight="1" x14ac:dyDescent="0.2">
      <c r="A273" s="250" t="s">
        <v>251</v>
      </c>
      <c r="B273" s="381" t="s">
        <v>287</v>
      </c>
      <c r="C273" s="122" t="s">
        <v>1666</v>
      </c>
      <c r="D273" s="13">
        <v>1120.25</v>
      </c>
      <c r="E273" s="96"/>
      <c r="F273" s="154">
        <f t="shared" si="11"/>
        <v>1120.25</v>
      </c>
      <c r="G273" s="412"/>
      <c r="H273" s="253"/>
      <c r="I273" s="34"/>
      <c r="J273" s="253"/>
      <c r="K273" s="308"/>
      <c r="L273" s="253"/>
      <c r="M273" s="253"/>
      <c r="N273" s="253"/>
      <c r="O273" s="253"/>
      <c r="P273" s="253"/>
      <c r="Q273" s="253"/>
      <c r="R273" s="253"/>
      <c r="S273" s="253"/>
      <c r="Y273" s="89"/>
      <c r="BI273" s="89"/>
      <c r="BJ273" s="305"/>
    </row>
    <row r="274" spans="1:62" s="2" customFormat="1" ht="35.25" customHeight="1" x14ac:dyDescent="0.2">
      <c r="A274" s="250" t="s">
        <v>253</v>
      </c>
      <c r="B274" s="381" t="s">
        <v>1928</v>
      </c>
      <c r="C274" s="122" t="s">
        <v>1666</v>
      </c>
      <c r="D274" s="13">
        <v>5688.4</v>
      </c>
      <c r="E274" s="96"/>
      <c r="F274" s="154">
        <f t="shared" si="11"/>
        <v>5688.4</v>
      </c>
      <c r="G274" s="412"/>
      <c r="H274" s="253"/>
      <c r="I274" s="34"/>
      <c r="J274" s="253"/>
      <c r="K274" s="308"/>
      <c r="L274" s="253"/>
      <c r="M274" s="253"/>
      <c r="N274" s="253"/>
      <c r="O274" s="253"/>
      <c r="P274" s="253"/>
      <c r="Q274" s="253"/>
      <c r="R274" s="253"/>
      <c r="S274" s="253"/>
      <c r="Y274" s="89"/>
      <c r="BI274" s="89"/>
      <c r="BJ274" s="305"/>
    </row>
    <row r="275" spans="1:62" s="2" customFormat="1" ht="30.75" customHeight="1" x14ac:dyDescent="0.2">
      <c r="A275" s="250" t="s">
        <v>198</v>
      </c>
      <c r="B275" s="381" t="s">
        <v>289</v>
      </c>
      <c r="C275" s="122" t="s">
        <v>1666</v>
      </c>
      <c r="D275" s="13">
        <v>528.05999999999995</v>
      </c>
      <c r="E275" s="96"/>
      <c r="F275" s="154">
        <f>D275+E275</f>
        <v>528.05999999999995</v>
      </c>
      <c r="G275" s="412"/>
      <c r="H275" s="253"/>
      <c r="I275" s="34"/>
      <c r="J275" s="253"/>
      <c r="K275" s="308"/>
      <c r="L275" s="253"/>
      <c r="M275" s="253"/>
      <c r="N275" s="253"/>
      <c r="O275" s="253"/>
      <c r="P275" s="253"/>
      <c r="Q275" s="253"/>
      <c r="R275" s="253"/>
      <c r="S275" s="253"/>
      <c r="Y275" s="89"/>
      <c r="BI275" s="89"/>
      <c r="BJ275" s="305"/>
    </row>
    <row r="276" spans="1:62" s="2" customFormat="1" ht="26.25" customHeight="1" x14ac:dyDescent="0.2">
      <c r="A276" s="250" t="s">
        <v>225</v>
      </c>
      <c r="B276" s="437" t="s">
        <v>291</v>
      </c>
      <c r="C276" s="437"/>
      <c r="D276" s="437"/>
      <c r="E276" s="205"/>
      <c r="F276" s="205"/>
      <c r="G276" s="412"/>
      <c r="H276" s="253"/>
      <c r="I276" s="34"/>
      <c r="J276" s="253"/>
      <c r="K276" s="308"/>
      <c r="L276" s="253"/>
      <c r="M276" s="253"/>
      <c r="N276" s="253"/>
      <c r="O276" s="253"/>
      <c r="P276" s="253"/>
      <c r="Q276" s="253"/>
      <c r="R276" s="253"/>
      <c r="S276" s="253"/>
      <c r="Y276" s="89"/>
      <c r="BI276" s="89"/>
      <c r="BJ276" s="305"/>
    </row>
    <row r="277" spans="1:62" s="2" customFormat="1" ht="37.5" customHeight="1" x14ac:dyDescent="0.2">
      <c r="A277" s="250" t="s">
        <v>1769</v>
      </c>
      <c r="B277" s="381" t="s">
        <v>293</v>
      </c>
      <c r="C277" s="122" t="s">
        <v>1666</v>
      </c>
      <c r="D277" s="13">
        <v>1639.25</v>
      </c>
      <c r="E277" s="96"/>
      <c r="F277" s="154">
        <f t="shared" ref="F277:F286" si="12">D277+E277</f>
        <v>1639.25</v>
      </c>
      <c r="G277" s="412"/>
      <c r="H277" s="253"/>
      <c r="I277" s="34"/>
      <c r="J277" s="253"/>
      <c r="K277" s="308"/>
      <c r="L277" s="253"/>
      <c r="M277" s="253"/>
      <c r="N277" s="253"/>
      <c r="O277" s="253"/>
      <c r="P277" s="253"/>
      <c r="Q277" s="253"/>
      <c r="R277" s="253"/>
      <c r="S277" s="253"/>
      <c r="Y277" s="89"/>
      <c r="BI277" s="89"/>
      <c r="BJ277" s="305"/>
    </row>
    <row r="278" spans="1:62" s="2" customFormat="1" ht="46.5" customHeight="1" x14ac:dyDescent="0.2">
      <c r="A278" s="250" t="s">
        <v>1770</v>
      </c>
      <c r="B278" s="381" t="s">
        <v>295</v>
      </c>
      <c r="C278" s="122" t="s">
        <v>1666</v>
      </c>
      <c r="D278" s="13">
        <v>1639.25</v>
      </c>
      <c r="E278" s="96"/>
      <c r="F278" s="154">
        <f t="shared" si="12"/>
        <v>1639.25</v>
      </c>
      <c r="G278" s="412"/>
      <c r="H278" s="253"/>
      <c r="I278" s="34"/>
      <c r="J278" s="253"/>
      <c r="K278" s="308"/>
      <c r="L278" s="253"/>
      <c r="M278" s="253"/>
      <c r="N278" s="253"/>
      <c r="O278" s="253"/>
      <c r="P278" s="253"/>
      <c r="Q278" s="253"/>
      <c r="R278" s="253"/>
      <c r="S278" s="253"/>
      <c r="Y278" s="89"/>
      <c r="BI278" s="89"/>
      <c r="BJ278" s="305"/>
    </row>
    <row r="279" spans="1:62" s="2" customFormat="1" ht="46.5" customHeight="1" x14ac:dyDescent="0.2">
      <c r="A279" s="250" t="s">
        <v>1771</v>
      </c>
      <c r="B279" s="381" t="s">
        <v>297</v>
      </c>
      <c r="C279" s="122" t="s">
        <v>1666</v>
      </c>
      <c r="D279" s="13">
        <v>1639.25</v>
      </c>
      <c r="E279" s="96"/>
      <c r="F279" s="154">
        <f t="shared" si="12"/>
        <v>1639.25</v>
      </c>
      <c r="G279" s="412"/>
      <c r="H279" s="253"/>
      <c r="I279" s="34"/>
      <c r="J279" s="253"/>
      <c r="K279" s="308"/>
      <c r="L279" s="253"/>
      <c r="M279" s="253"/>
      <c r="N279" s="253"/>
      <c r="O279" s="253"/>
      <c r="P279" s="253"/>
      <c r="Q279" s="253"/>
      <c r="R279" s="253"/>
      <c r="S279" s="253"/>
      <c r="Y279" s="89"/>
      <c r="BI279" s="89"/>
      <c r="BJ279" s="305"/>
    </row>
    <row r="280" spans="1:62" s="2" customFormat="1" ht="21.75" customHeight="1" x14ac:dyDescent="0.2">
      <c r="A280" s="250" t="s">
        <v>1772</v>
      </c>
      <c r="B280" s="381" t="s">
        <v>299</v>
      </c>
      <c r="C280" s="122" t="s">
        <v>1666</v>
      </c>
      <c r="D280" s="13">
        <v>1639.25</v>
      </c>
      <c r="E280" s="96"/>
      <c r="F280" s="154">
        <f t="shared" si="12"/>
        <v>1639.25</v>
      </c>
      <c r="G280" s="412"/>
      <c r="H280" s="253"/>
      <c r="I280" s="34"/>
      <c r="J280" s="253"/>
      <c r="K280" s="308"/>
      <c r="L280" s="253"/>
      <c r="M280" s="253"/>
      <c r="N280" s="253"/>
      <c r="O280" s="253"/>
      <c r="P280" s="253"/>
      <c r="Q280" s="253"/>
      <c r="R280" s="253"/>
      <c r="S280" s="253"/>
      <c r="Y280" s="89"/>
      <c r="BI280" s="89"/>
      <c r="BJ280" s="305"/>
    </row>
    <row r="281" spans="1:62" s="2" customFormat="1" ht="33.75" customHeight="1" x14ac:dyDescent="0.2">
      <c r="A281" s="250" t="s">
        <v>257</v>
      </c>
      <c r="B281" s="98" t="s">
        <v>301</v>
      </c>
      <c r="C281" s="122" t="s">
        <v>1666</v>
      </c>
      <c r="D281" s="13">
        <v>980.32</v>
      </c>
      <c r="E281" s="96"/>
      <c r="F281" s="154">
        <f t="shared" si="12"/>
        <v>980.32</v>
      </c>
      <c r="G281" s="412"/>
      <c r="H281" s="253"/>
      <c r="I281" s="34"/>
      <c r="J281" s="253"/>
      <c r="K281" s="308"/>
      <c r="L281" s="253"/>
      <c r="M281" s="253"/>
      <c r="N281" s="253"/>
      <c r="O281" s="253"/>
      <c r="P281" s="253"/>
      <c r="Q281" s="253"/>
      <c r="R281" s="253"/>
      <c r="S281" s="253"/>
      <c r="Y281" s="89"/>
      <c r="BI281" s="89"/>
      <c r="BJ281" s="305"/>
    </row>
    <row r="282" spans="1:62" s="2" customFormat="1" ht="33.75" customHeight="1" x14ac:dyDescent="0.2">
      <c r="A282" s="250" t="s">
        <v>271</v>
      </c>
      <c r="B282" s="381" t="s">
        <v>303</v>
      </c>
      <c r="C282" s="122" t="s">
        <v>1666</v>
      </c>
      <c r="D282" s="13">
        <v>855.45</v>
      </c>
      <c r="E282" s="96"/>
      <c r="F282" s="154">
        <f t="shared" si="12"/>
        <v>855.45</v>
      </c>
      <c r="G282" s="412"/>
      <c r="H282" s="253"/>
      <c r="I282" s="34"/>
      <c r="J282" s="253"/>
      <c r="K282" s="308"/>
      <c r="L282" s="253"/>
      <c r="M282" s="253"/>
      <c r="N282" s="253"/>
      <c r="O282" s="253"/>
      <c r="P282" s="253"/>
      <c r="Q282" s="253"/>
      <c r="R282" s="253"/>
      <c r="S282" s="253"/>
      <c r="Y282" s="89"/>
      <c r="BI282" s="89"/>
      <c r="BJ282" s="305"/>
    </row>
    <row r="283" spans="1:62" s="2" customFormat="1" ht="33.75" customHeight="1" x14ac:dyDescent="0.2">
      <c r="A283" s="250" t="s">
        <v>273</v>
      </c>
      <c r="B283" s="381" t="s">
        <v>305</v>
      </c>
      <c r="C283" s="122" t="s">
        <v>1666</v>
      </c>
      <c r="D283" s="13">
        <v>407.77</v>
      </c>
      <c r="E283" s="96"/>
      <c r="F283" s="154">
        <f t="shared" si="12"/>
        <v>407.77</v>
      </c>
      <c r="G283" s="412"/>
      <c r="H283" s="253"/>
      <c r="I283" s="34"/>
      <c r="J283" s="253"/>
      <c r="K283" s="308"/>
      <c r="L283" s="253"/>
      <c r="M283" s="253"/>
      <c r="N283" s="253"/>
      <c r="O283" s="253"/>
      <c r="P283" s="253"/>
      <c r="Q283" s="253"/>
      <c r="R283" s="253"/>
      <c r="S283" s="253"/>
      <c r="Y283" s="89"/>
      <c r="BI283" s="89"/>
      <c r="BJ283" s="305"/>
    </row>
    <row r="284" spans="1:62" s="2" customFormat="1" ht="36" customHeight="1" x14ac:dyDescent="0.2">
      <c r="A284" s="250" t="s">
        <v>288</v>
      </c>
      <c r="B284" s="381" t="s">
        <v>307</v>
      </c>
      <c r="C284" s="122" t="s">
        <v>1666</v>
      </c>
      <c r="D284" s="13">
        <v>884.44</v>
      </c>
      <c r="E284" s="96"/>
      <c r="F284" s="154">
        <f t="shared" si="12"/>
        <v>884.44</v>
      </c>
      <c r="G284" s="412"/>
      <c r="H284" s="253"/>
      <c r="I284" s="34"/>
      <c r="J284" s="253"/>
      <c r="K284" s="308"/>
      <c r="L284" s="253"/>
      <c r="M284" s="253"/>
      <c r="N284" s="253"/>
      <c r="O284" s="253"/>
      <c r="P284" s="253"/>
      <c r="Q284" s="253"/>
      <c r="R284" s="253"/>
      <c r="S284" s="253"/>
      <c r="Y284" s="89"/>
      <c r="BI284" s="89"/>
      <c r="BJ284" s="305"/>
    </row>
    <row r="285" spans="1:62" s="2" customFormat="1" ht="35.25" customHeight="1" x14ac:dyDescent="0.2">
      <c r="A285" s="250" t="s">
        <v>290</v>
      </c>
      <c r="B285" s="381" t="s">
        <v>309</v>
      </c>
      <c r="C285" s="122" t="s">
        <v>1666</v>
      </c>
      <c r="D285" s="13">
        <v>452.11</v>
      </c>
      <c r="E285" s="96"/>
      <c r="F285" s="154">
        <f t="shared" si="12"/>
        <v>452.11</v>
      </c>
      <c r="G285" s="412"/>
      <c r="H285" s="253"/>
      <c r="I285" s="34"/>
      <c r="J285" s="253"/>
      <c r="K285" s="308"/>
      <c r="L285" s="253"/>
      <c r="M285" s="253"/>
      <c r="N285" s="253"/>
      <c r="O285" s="253"/>
      <c r="P285" s="253"/>
      <c r="Q285" s="253"/>
      <c r="R285" s="253"/>
      <c r="S285" s="253"/>
      <c r="Y285" s="89"/>
      <c r="BI285" s="89"/>
      <c r="BJ285" s="305"/>
    </row>
    <row r="286" spans="1:62" s="2" customFormat="1" ht="19.5" customHeight="1" x14ac:dyDescent="0.2">
      <c r="A286" s="250" t="s">
        <v>300</v>
      </c>
      <c r="B286" s="381" t="s">
        <v>2005</v>
      </c>
      <c r="C286" s="122" t="s">
        <v>1666</v>
      </c>
      <c r="D286" s="13">
        <v>485.2</v>
      </c>
      <c r="E286" s="96"/>
      <c r="F286" s="154">
        <f t="shared" si="12"/>
        <v>485.2</v>
      </c>
      <c r="G286" s="412"/>
      <c r="H286" s="253"/>
      <c r="I286" s="34"/>
      <c r="J286" s="253"/>
      <c r="K286" s="308"/>
      <c r="L286" s="253"/>
      <c r="M286" s="253"/>
      <c r="N286" s="253"/>
      <c r="O286" s="253"/>
      <c r="P286" s="253"/>
      <c r="Q286" s="253"/>
      <c r="R286" s="253"/>
      <c r="S286" s="253"/>
      <c r="Y286" s="89"/>
      <c r="BI286" s="89"/>
      <c r="BJ286" s="305"/>
    </row>
    <row r="287" spans="1:62" s="2" customFormat="1" ht="24.75" customHeight="1" x14ac:dyDescent="0.2">
      <c r="A287" s="250" t="s">
        <v>302</v>
      </c>
      <c r="B287" s="437" t="s">
        <v>312</v>
      </c>
      <c r="C287" s="437"/>
      <c r="D287" s="437"/>
      <c r="E287" s="205"/>
      <c r="F287" s="205"/>
      <c r="G287" s="412"/>
      <c r="H287" s="253"/>
      <c r="I287" s="34"/>
      <c r="J287" s="253"/>
      <c r="K287" s="308"/>
      <c r="L287" s="253"/>
      <c r="M287" s="253"/>
      <c r="N287" s="253"/>
      <c r="O287" s="253"/>
      <c r="P287" s="253"/>
      <c r="Q287" s="253"/>
      <c r="R287" s="253"/>
      <c r="S287" s="253"/>
      <c r="Y287" s="89"/>
      <c r="BI287" s="89"/>
      <c r="BJ287" s="305"/>
    </row>
    <row r="288" spans="1:62" s="2" customFormat="1" ht="32.25" customHeight="1" x14ac:dyDescent="0.2">
      <c r="A288" s="250" t="s">
        <v>1773</v>
      </c>
      <c r="B288" s="99" t="s">
        <v>314</v>
      </c>
      <c r="C288" s="122" t="s">
        <v>1666</v>
      </c>
      <c r="D288" s="13">
        <v>520.44000000000005</v>
      </c>
      <c r="E288" s="96"/>
      <c r="F288" s="154">
        <f>D288+E288</f>
        <v>520.44000000000005</v>
      </c>
      <c r="G288" s="412"/>
      <c r="H288" s="253"/>
      <c r="I288" s="34"/>
      <c r="J288" s="253"/>
      <c r="K288" s="308"/>
      <c r="L288" s="253"/>
      <c r="M288" s="253"/>
      <c r="N288" s="253"/>
      <c r="O288" s="253"/>
      <c r="P288" s="253"/>
      <c r="Q288" s="253"/>
      <c r="R288" s="253"/>
      <c r="S288" s="253"/>
      <c r="Y288" s="89"/>
      <c r="BI288" s="89"/>
      <c r="BJ288" s="305"/>
    </row>
    <row r="289" spans="1:62" s="2" customFormat="1" ht="24" customHeight="1" x14ac:dyDescent="0.2">
      <c r="A289" s="250" t="s">
        <v>1774</v>
      </c>
      <c r="B289" s="100" t="s">
        <v>316</v>
      </c>
      <c r="C289" s="122" t="s">
        <v>1666</v>
      </c>
      <c r="D289" s="13">
        <v>520.44000000000005</v>
      </c>
      <c r="E289" s="96"/>
      <c r="F289" s="154">
        <f>D289+E289</f>
        <v>520.44000000000005</v>
      </c>
      <c r="G289" s="412"/>
      <c r="H289" s="253"/>
      <c r="I289" s="34"/>
      <c r="J289" s="253"/>
      <c r="K289" s="308"/>
      <c r="L289" s="253"/>
      <c r="M289" s="253"/>
      <c r="N289" s="253"/>
      <c r="O289" s="253"/>
      <c r="P289" s="253"/>
      <c r="Q289" s="253"/>
      <c r="R289" s="253"/>
      <c r="S289" s="253"/>
      <c r="Y289" s="89"/>
      <c r="BI289" s="89"/>
      <c r="BJ289" s="305"/>
    </row>
    <row r="290" spans="1:62" s="2" customFormat="1" ht="35.25" customHeight="1" x14ac:dyDescent="0.2">
      <c r="A290" s="250" t="s">
        <v>304</v>
      </c>
      <c r="B290" s="457" t="s">
        <v>318</v>
      </c>
      <c r="C290" s="457"/>
      <c r="D290" s="457"/>
      <c r="E290" s="206"/>
      <c r="F290" s="206"/>
      <c r="G290" s="412"/>
      <c r="H290" s="253"/>
      <c r="I290" s="34"/>
      <c r="J290" s="253"/>
      <c r="K290" s="308"/>
      <c r="L290" s="253"/>
      <c r="M290" s="253"/>
      <c r="N290" s="253"/>
      <c r="O290" s="253"/>
      <c r="P290" s="253"/>
      <c r="Q290" s="253"/>
      <c r="R290" s="253"/>
      <c r="S290" s="253"/>
      <c r="Y290" s="89"/>
      <c r="BI290" s="89"/>
      <c r="BJ290" s="305"/>
    </row>
    <row r="291" spans="1:62" s="2" customFormat="1" ht="26.25" customHeight="1" x14ac:dyDescent="0.2">
      <c r="A291" s="250" t="s">
        <v>1954</v>
      </c>
      <c r="B291" s="98" t="s">
        <v>320</v>
      </c>
      <c r="C291" s="122" t="s">
        <v>1666</v>
      </c>
      <c r="D291" s="13">
        <v>2027.38</v>
      </c>
      <c r="E291" s="96"/>
      <c r="F291" s="154">
        <f t="shared" ref="F291:F302" si="13">D291+E291</f>
        <v>2027.38</v>
      </c>
      <c r="G291" s="412"/>
      <c r="H291" s="253"/>
      <c r="I291" s="34"/>
      <c r="J291" s="253"/>
      <c r="K291" s="308"/>
      <c r="L291" s="253"/>
      <c r="M291" s="253"/>
      <c r="N291" s="253"/>
      <c r="O291" s="253"/>
      <c r="P291" s="253"/>
      <c r="Q291" s="253"/>
      <c r="R291" s="253"/>
      <c r="S291" s="253"/>
      <c r="Y291" s="89"/>
      <c r="BI291" s="89"/>
      <c r="BJ291" s="305"/>
    </row>
    <row r="292" spans="1:62" s="2" customFormat="1" ht="22.5" customHeight="1" x14ac:dyDescent="0.2">
      <c r="A292" s="250" t="s">
        <v>1955</v>
      </c>
      <c r="B292" s="98" t="s">
        <v>322</v>
      </c>
      <c r="C292" s="122" t="s">
        <v>1666</v>
      </c>
      <c r="D292" s="13">
        <v>1921.84</v>
      </c>
      <c r="E292" s="96"/>
      <c r="F292" s="154">
        <f t="shared" si="13"/>
        <v>1921.84</v>
      </c>
      <c r="G292" s="412"/>
      <c r="H292" s="253"/>
      <c r="I292" s="34"/>
      <c r="J292" s="253"/>
      <c r="K292" s="308"/>
      <c r="L292" s="253"/>
      <c r="M292" s="253"/>
      <c r="N292" s="253"/>
      <c r="O292" s="253"/>
      <c r="P292" s="253"/>
      <c r="Q292" s="253"/>
      <c r="R292" s="253"/>
      <c r="S292" s="253"/>
      <c r="Y292" s="89"/>
      <c r="BI292" s="89"/>
      <c r="BJ292" s="305"/>
    </row>
    <row r="293" spans="1:62" s="2" customFormat="1" ht="22.5" customHeight="1" x14ac:dyDescent="0.2">
      <c r="A293" s="250" t="s">
        <v>1956</v>
      </c>
      <c r="B293" s="98" t="s">
        <v>324</v>
      </c>
      <c r="C293" s="122" t="s">
        <v>1666</v>
      </c>
      <c r="D293" s="13">
        <v>1253.8800000000001</v>
      </c>
      <c r="E293" s="96"/>
      <c r="F293" s="154">
        <f t="shared" si="13"/>
        <v>1253.8800000000001</v>
      </c>
      <c r="G293" s="412"/>
      <c r="H293" s="253"/>
      <c r="I293" s="34"/>
      <c r="J293" s="253"/>
      <c r="K293" s="308"/>
      <c r="L293" s="253"/>
      <c r="M293" s="253"/>
      <c r="N293" s="253"/>
      <c r="O293" s="253"/>
      <c r="P293" s="253"/>
      <c r="Q293" s="253"/>
      <c r="R293" s="253"/>
      <c r="S293" s="253"/>
      <c r="Y293" s="89"/>
      <c r="BI293" s="89"/>
      <c r="BJ293" s="305"/>
    </row>
    <row r="294" spans="1:62" s="2" customFormat="1" ht="20.25" customHeight="1" x14ac:dyDescent="0.2">
      <c r="A294" s="250" t="s">
        <v>1957</v>
      </c>
      <c r="B294" s="98" t="s">
        <v>326</v>
      </c>
      <c r="C294" s="122" t="s">
        <v>1666</v>
      </c>
      <c r="D294" s="13">
        <v>1993.77</v>
      </c>
      <c r="E294" s="96"/>
      <c r="F294" s="154">
        <f t="shared" si="13"/>
        <v>1993.77</v>
      </c>
      <c r="G294" s="412"/>
      <c r="H294" s="253"/>
      <c r="I294" s="34"/>
      <c r="J294" s="253"/>
      <c r="K294" s="308"/>
      <c r="L294" s="253"/>
      <c r="M294" s="253"/>
      <c r="N294" s="253"/>
      <c r="O294" s="253"/>
      <c r="P294" s="253"/>
      <c r="Q294" s="253"/>
      <c r="R294" s="253"/>
      <c r="S294" s="253"/>
      <c r="Y294" s="89"/>
      <c r="BI294" s="89"/>
      <c r="BJ294" s="305"/>
    </row>
    <row r="295" spans="1:62" s="2" customFormat="1" ht="21.75" customHeight="1" x14ac:dyDescent="0.2">
      <c r="A295" s="250" t="s">
        <v>1958</v>
      </c>
      <c r="B295" s="98" t="s">
        <v>328</v>
      </c>
      <c r="C295" s="122" t="s">
        <v>1666</v>
      </c>
      <c r="D295" s="13">
        <v>1978.84</v>
      </c>
      <c r="E295" s="96"/>
      <c r="F295" s="154">
        <f t="shared" si="13"/>
        <v>1978.84</v>
      </c>
      <c r="G295" s="412"/>
      <c r="H295" s="253"/>
      <c r="I295" s="34"/>
      <c r="J295" s="253"/>
      <c r="K295" s="308"/>
      <c r="L295" s="253"/>
      <c r="M295" s="253"/>
      <c r="N295" s="253"/>
      <c r="O295" s="253"/>
      <c r="P295" s="253"/>
      <c r="Q295" s="253"/>
      <c r="R295" s="253"/>
      <c r="S295" s="253"/>
      <c r="Y295" s="89"/>
      <c r="BI295" s="89"/>
      <c r="BJ295" s="305"/>
    </row>
    <row r="296" spans="1:62" s="2" customFormat="1" ht="18.75" customHeight="1" x14ac:dyDescent="0.2">
      <c r="A296" s="250" t="s">
        <v>1959</v>
      </c>
      <c r="B296" s="98" t="s">
        <v>1752</v>
      </c>
      <c r="C296" s="122" t="s">
        <v>1666</v>
      </c>
      <c r="D296" s="13">
        <v>1990.38</v>
      </c>
      <c r="E296" s="96"/>
      <c r="F296" s="154">
        <f>D296+E296</f>
        <v>1990.38</v>
      </c>
      <c r="G296" s="412"/>
      <c r="H296" s="253"/>
      <c r="I296" s="34"/>
      <c r="J296" s="253"/>
      <c r="K296" s="308"/>
      <c r="L296" s="253"/>
      <c r="M296" s="253"/>
      <c r="N296" s="253"/>
      <c r="O296" s="253"/>
      <c r="P296" s="253"/>
      <c r="Q296" s="253"/>
      <c r="R296" s="253"/>
      <c r="S296" s="253"/>
      <c r="Y296" s="89"/>
      <c r="BI296" s="89"/>
      <c r="BJ296" s="305"/>
    </row>
    <row r="297" spans="1:62" s="2" customFormat="1" ht="18.75" customHeight="1" x14ac:dyDescent="0.2">
      <c r="A297" s="250" t="s">
        <v>1960</v>
      </c>
      <c r="B297" s="98" t="s">
        <v>331</v>
      </c>
      <c r="C297" s="122" t="s">
        <v>1666</v>
      </c>
      <c r="D297" s="13">
        <v>2040.74</v>
      </c>
      <c r="E297" s="96"/>
      <c r="F297" s="154">
        <f t="shared" si="13"/>
        <v>2040.74</v>
      </c>
      <c r="G297" s="412"/>
      <c r="H297" s="253"/>
      <c r="I297" s="34"/>
      <c r="J297" s="253"/>
      <c r="K297" s="308"/>
      <c r="L297" s="253"/>
      <c r="M297" s="253"/>
      <c r="N297" s="253"/>
      <c r="O297" s="253"/>
      <c r="P297" s="253"/>
      <c r="Q297" s="253"/>
      <c r="R297" s="253"/>
      <c r="S297" s="253"/>
      <c r="Y297" s="89"/>
      <c r="BI297" s="89"/>
      <c r="BJ297" s="305"/>
    </row>
    <row r="298" spans="1:62" s="2" customFormat="1" ht="18.75" customHeight="1" x14ac:dyDescent="0.2">
      <c r="A298" s="250" t="s">
        <v>1961</v>
      </c>
      <c r="B298" s="98" t="s">
        <v>333</v>
      </c>
      <c r="C298" s="122" t="s">
        <v>1666</v>
      </c>
      <c r="D298" s="13">
        <v>1696.36</v>
      </c>
      <c r="E298" s="96"/>
      <c r="F298" s="154">
        <f t="shared" si="13"/>
        <v>1696.36</v>
      </c>
      <c r="G298" s="412"/>
      <c r="H298" s="253"/>
      <c r="I298" s="34"/>
      <c r="J298" s="253"/>
      <c r="K298" s="308"/>
      <c r="L298" s="253"/>
      <c r="M298" s="253"/>
      <c r="N298" s="253"/>
      <c r="O298" s="253"/>
      <c r="P298" s="253"/>
      <c r="Q298" s="253"/>
      <c r="R298" s="253"/>
      <c r="S298" s="253"/>
      <c r="Y298" s="89"/>
      <c r="AK298" s="307" t="s">
        <v>334</v>
      </c>
      <c r="BI298" s="89"/>
      <c r="BJ298" s="305"/>
    </row>
    <row r="299" spans="1:62" s="2" customFormat="1" ht="18.75" customHeight="1" x14ac:dyDescent="0.2">
      <c r="A299" s="250" t="s">
        <v>1962</v>
      </c>
      <c r="B299" s="98" t="s">
        <v>336</v>
      </c>
      <c r="C299" s="122" t="s">
        <v>1666</v>
      </c>
      <c r="D299" s="13">
        <v>1805.15</v>
      </c>
      <c r="E299" s="96"/>
      <c r="F299" s="154">
        <f t="shared" si="13"/>
        <v>1805.15</v>
      </c>
      <c r="G299" s="412"/>
      <c r="H299" s="253"/>
      <c r="I299" s="34"/>
      <c r="J299" s="253"/>
      <c r="K299" s="308"/>
      <c r="L299" s="253"/>
      <c r="M299" s="253"/>
      <c r="N299" s="253"/>
      <c r="O299" s="253"/>
      <c r="P299" s="253"/>
      <c r="Q299" s="253"/>
      <c r="R299" s="253"/>
      <c r="S299" s="253"/>
      <c r="Y299" s="89"/>
      <c r="AK299" s="307" t="s">
        <v>334</v>
      </c>
      <c r="BI299" s="89"/>
      <c r="BJ299" s="305"/>
    </row>
    <row r="300" spans="1:62" s="2" customFormat="1" ht="18.75" customHeight="1" x14ac:dyDescent="0.2">
      <c r="A300" s="250" t="s">
        <v>1963</v>
      </c>
      <c r="B300" s="98" t="s">
        <v>338</v>
      </c>
      <c r="C300" s="122" t="s">
        <v>1666</v>
      </c>
      <c r="D300" s="13">
        <v>1763.78</v>
      </c>
      <c r="E300" s="96"/>
      <c r="F300" s="154">
        <f t="shared" si="13"/>
        <v>1763.78</v>
      </c>
      <c r="G300" s="412"/>
      <c r="H300" s="253"/>
      <c r="I300" s="34"/>
      <c r="J300" s="253"/>
      <c r="K300" s="308"/>
      <c r="L300" s="253"/>
      <c r="M300" s="253"/>
      <c r="N300" s="253"/>
      <c r="O300" s="253"/>
      <c r="P300" s="253"/>
      <c r="Q300" s="253"/>
      <c r="R300" s="253"/>
      <c r="S300" s="253"/>
      <c r="Y300" s="89"/>
      <c r="AK300" s="307" t="s">
        <v>334</v>
      </c>
      <c r="BI300" s="89"/>
      <c r="BJ300" s="305"/>
    </row>
    <row r="301" spans="1:62" s="2" customFormat="1" ht="18.75" customHeight="1" x14ac:dyDescent="0.2">
      <c r="A301" s="250" t="s">
        <v>1964</v>
      </c>
      <c r="B301" s="98" t="s">
        <v>340</v>
      </c>
      <c r="C301" s="122" t="s">
        <v>1666</v>
      </c>
      <c r="D301" s="13">
        <v>1762.97</v>
      </c>
      <c r="E301" s="96"/>
      <c r="F301" s="154">
        <f t="shared" si="13"/>
        <v>1762.97</v>
      </c>
      <c r="G301" s="412"/>
      <c r="H301" s="253"/>
      <c r="I301" s="34"/>
      <c r="J301" s="253"/>
      <c r="K301" s="308"/>
      <c r="L301" s="253"/>
      <c r="M301" s="253"/>
      <c r="N301" s="253"/>
      <c r="O301" s="253"/>
      <c r="P301" s="253"/>
      <c r="Q301" s="253"/>
      <c r="R301" s="253"/>
      <c r="S301" s="253"/>
      <c r="Y301" s="89"/>
      <c r="AK301" s="307" t="s">
        <v>334</v>
      </c>
      <c r="BI301" s="89"/>
      <c r="BJ301" s="305"/>
    </row>
    <row r="302" spans="1:62" s="2" customFormat="1" ht="18.75" customHeight="1" x14ac:dyDescent="0.2">
      <c r="A302" s="250" t="s">
        <v>1965</v>
      </c>
      <c r="B302" s="98" t="s">
        <v>342</v>
      </c>
      <c r="C302" s="122" t="s">
        <v>1666</v>
      </c>
      <c r="D302" s="13">
        <f>1762.97</f>
        <v>1762.97</v>
      </c>
      <c r="E302" s="96"/>
      <c r="F302" s="154">
        <f t="shared" si="13"/>
        <v>1762.97</v>
      </c>
      <c r="G302" s="412"/>
      <c r="H302" s="253"/>
      <c r="I302" s="34"/>
      <c r="J302" s="253"/>
      <c r="K302" s="308"/>
      <c r="L302" s="253"/>
      <c r="M302" s="253"/>
      <c r="N302" s="253"/>
      <c r="O302" s="253"/>
      <c r="P302" s="253"/>
      <c r="Q302" s="253"/>
      <c r="R302" s="253"/>
      <c r="S302" s="253"/>
      <c r="Y302" s="89"/>
      <c r="AK302" s="307"/>
      <c r="BI302" s="89"/>
      <c r="BJ302" s="305"/>
    </row>
    <row r="303" spans="1:62" s="2" customFormat="1" ht="45.75" customHeight="1" x14ac:dyDescent="0.2">
      <c r="A303" s="250" t="s">
        <v>306</v>
      </c>
      <c r="B303" s="381" t="s">
        <v>344</v>
      </c>
      <c r="C303" s="122" t="s">
        <v>1666</v>
      </c>
      <c r="D303" s="97">
        <v>735.24</v>
      </c>
      <c r="E303" s="96"/>
      <c r="F303" s="154">
        <f>D303+E303</f>
        <v>735.24</v>
      </c>
      <c r="G303" s="412"/>
      <c r="H303" s="253"/>
      <c r="I303" s="34"/>
      <c r="J303" s="253"/>
      <c r="K303" s="308"/>
      <c r="L303" s="253"/>
      <c r="M303" s="253"/>
      <c r="N303" s="253"/>
      <c r="O303" s="253"/>
      <c r="P303" s="253"/>
      <c r="Q303" s="253"/>
      <c r="R303" s="253"/>
      <c r="S303" s="253"/>
      <c r="Y303" s="89"/>
      <c r="BI303" s="89"/>
      <c r="BJ303" s="305"/>
    </row>
    <row r="304" spans="1:62" s="2" customFormat="1" ht="30.75" customHeight="1" x14ac:dyDescent="0.2">
      <c r="A304" s="250" t="s">
        <v>308</v>
      </c>
      <c r="B304" s="98" t="s">
        <v>346</v>
      </c>
      <c r="C304" s="122" t="s">
        <v>1666</v>
      </c>
      <c r="D304" s="97">
        <v>593.52</v>
      </c>
      <c r="E304" s="96"/>
      <c r="F304" s="154">
        <f>D304+E304</f>
        <v>593.52</v>
      </c>
      <c r="G304" s="412"/>
      <c r="H304" s="253"/>
      <c r="I304" s="34"/>
      <c r="J304" s="253"/>
      <c r="K304" s="308"/>
      <c r="L304" s="253"/>
      <c r="M304" s="253"/>
      <c r="N304" s="253"/>
      <c r="O304" s="253"/>
      <c r="P304" s="253"/>
      <c r="Q304" s="253"/>
      <c r="R304" s="253"/>
      <c r="S304" s="253"/>
      <c r="Y304" s="89"/>
      <c r="BI304" s="89"/>
      <c r="BJ304" s="305"/>
    </row>
    <row r="305" spans="1:62" s="2" customFormat="1" ht="26.25" customHeight="1" x14ac:dyDescent="0.2">
      <c r="A305" s="250" t="s">
        <v>310</v>
      </c>
      <c r="B305" s="437" t="s">
        <v>348</v>
      </c>
      <c r="C305" s="437"/>
      <c r="D305" s="437"/>
      <c r="E305" s="205"/>
      <c r="F305" s="205"/>
      <c r="G305" s="412"/>
      <c r="H305" s="253"/>
      <c r="I305" s="34"/>
      <c r="J305" s="253"/>
      <c r="K305" s="308"/>
      <c r="L305" s="253"/>
      <c r="M305" s="253"/>
      <c r="N305" s="253"/>
      <c r="O305" s="253"/>
      <c r="P305" s="253"/>
      <c r="Q305" s="253"/>
      <c r="R305" s="253"/>
      <c r="S305" s="253"/>
      <c r="Y305" s="89"/>
      <c r="BI305" s="89"/>
      <c r="BJ305" s="305"/>
    </row>
    <row r="306" spans="1:62" s="2" customFormat="1" ht="18.75" customHeight="1" x14ac:dyDescent="0.2">
      <c r="A306" s="250" t="s">
        <v>1775</v>
      </c>
      <c r="B306" s="98" t="s">
        <v>350</v>
      </c>
      <c r="C306" s="122" t="s">
        <v>1666</v>
      </c>
      <c r="D306" s="101">
        <v>735.24</v>
      </c>
      <c r="E306" s="96"/>
      <c r="F306" s="154">
        <f>D306+E306</f>
        <v>735.24</v>
      </c>
      <c r="G306" s="412"/>
      <c r="H306" s="253"/>
      <c r="I306" s="34"/>
      <c r="J306" s="253"/>
      <c r="K306" s="308"/>
      <c r="L306" s="253"/>
      <c r="M306" s="253"/>
      <c r="N306" s="253"/>
      <c r="O306" s="253"/>
      <c r="P306" s="253"/>
      <c r="Q306" s="253"/>
      <c r="R306" s="253"/>
      <c r="S306" s="253"/>
      <c r="Y306" s="89"/>
      <c r="BI306" s="89"/>
      <c r="BJ306" s="305"/>
    </row>
    <row r="307" spans="1:62" s="2" customFormat="1" ht="18.75" customHeight="1" x14ac:dyDescent="0.2">
      <c r="A307" s="250" t="s">
        <v>1776</v>
      </c>
      <c r="B307" s="98" t="s">
        <v>352</v>
      </c>
      <c r="C307" s="122" t="s">
        <v>1666</v>
      </c>
      <c r="D307" s="101">
        <v>735.24</v>
      </c>
      <c r="E307" s="96"/>
      <c r="F307" s="154">
        <f>D307+E307</f>
        <v>735.24</v>
      </c>
      <c r="G307" s="412"/>
      <c r="H307" s="253"/>
      <c r="I307" s="34"/>
      <c r="J307" s="253"/>
      <c r="K307" s="308"/>
      <c r="L307" s="253"/>
      <c r="M307" s="253"/>
      <c r="N307" s="253"/>
      <c r="O307" s="253"/>
      <c r="P307" s="253"/>
      <c r="Q307" s="253"/>
      <c r="R307" s="253"/>
      <c r="S307" s="253"/>
      <c r="Y307" s="89"/>
      <c r="BI307" s="89"/>
      <c r="BJ307" s="305"/>
    </row>
    <row r="308" spans="1:62" s="2" customFormat="1" ht="19.5" customHeight="1" x14ac:dyDescent="0.2">
      <c r="A308" s="250" t="s">
        <v>1777</v>
      </c>
      <c r="B308" s="98" t="s">
        <v>354</v>
      </c>
      <c r="C308" s="122" t="s">
        <v>1666</v>
      </c>
      <c r="D308" s="101">
        <v>1353.95</v>
      </c>
      <c r="E308" s="96"/>
      <c r="F308" s="154">
        <f>D308+E308</f>
        <v>1353.95</v>
      </c>
      <c r="G308" s="412"/>
      <c r="H308" s="253"/>
      <c r="I308" s="34"/>
      <c r="J308" s="253"/>
      <c r="K308" s="308"/>
      <c r="L308" s="253"/>
      <c r="M308" s="253"/>
      <c r="N308" s="253"/>
      <c r="O308" s="253"/>
      <c r="P308" s="253"/>
      <c r="Q308" s="253"/>
      <c r="R308" s="253"/>
      <c r="S308" s="253"/>
      <c r="Y308" s="89"/>
      <c r="BI308" s="89"/>
      <c r="BJ308" s="305"/>
    </row>
    <row r="309" spans="1:62" s="2" customFormat="1" ht="34.5" customHeight="1" x14ac:dyDescent="0.2">
      <c r="A309" s="250" t="s">
        <v>1778</v>
      </c>
      <c r="B309" s="98" t="s">
        <v>356</v>
      </c>
      <c r="C309" s="122" t="s">
        <v>1666</v>
      </c>
      <c r="D309" s="13">
        <v>1046.6199999999999</v>
      </c>
      <c r="E309" s="96"/>
      <c r="F309" s="154">
        <f>D309+E309</f>
        <v>1046.6199999999999</v>
      </c>
      <c r="G309" s="412"/>
      <c r="H309" s="253"/>
      <c r="I309" s="34"/>
      <c r="J309" s="253"/>
      <c r="K309" s="308"/>
      <c r="L309" s="253"/>
      <c r="M309" s="253"/>
      <c r="N309" s="253"/>
      <c r="O309" s="253"/>
      <c r="P309" s="253"/>
      <c r="Q309" s="253"/>
      <c r="R309" s="253"/>
      <c r="S309" s="253"/>
      <c r="Y309" s="89"/>
      <c r="BI309" s="89"/>
      <c r="BJ309" s="305"/>
    </row>
    <row r="310" spans="1:62" s="2" customFormat="1" ht="34.5" customHeight="1" x14ac:dyDescent="0.2">
      <c r="A310" s="250" t="s">
        <v>311</v>
      </c>
      <c r="B310" s="457" t="s">
        <v>358</v>
      </c>
      <c r="C310" s="457"/>
      <c r="D310" s="457"/>
      <c r="E310" s="206"/>
      <c r="F310" s="206"/>
      <c r="G310" s="412"/>
      <c r="H310" s="253"/>
      <c r="I310" s="34"/>
      <c r="J310" s="253"/>
      <c r="K310" s="308"/>
      <c r="L310" s="253"/>
      <c r="M310" s="253"/>
      <c r="N310" s="253"/>
      <c r="O310" s="253"/>
      <c r="P310" s="253"/>
      <c r="Q310" s="253"/>
      <c r="R310" s="253"/>
      <c r="S310" s="253"/>
      <c r="Y310" s="89"/>
      <c r="BI310" s="89"/>
      <c r="BJ310" s="305"/>
    </row>
    <row r="311" spans="1:62" s="2" customFormat="1" ht="22.5" customHeight="1" x14ac:dyDescent="0.2">
      <c r="A311" s="250" t="s">
        <v>313</v>
      </c>
      <c r="B311" s="98" t="s">
        <v>360</v>
      </c>
      <c r="C311" s="122" t="s">
        <v>1666</v>
      </c>
      <c r="D311" s="13">
        <f>1941.65</f>
        <v>1941.65</v>
      </c>
      <c r="E311" s="96"/>
      <c r="F311" s="154">
        <f t="shared" ref="F311:F325" si="14">D311+E311</f>
        <v>1941.65</v>
      </c>
      <c r="G311" s="412"/>
      <c r="H311" s="253"/>
      <c r="I311" s="34"/>
      <c r="J311" s="253"/>
      <c r="K311" s="308"/>
      <c r="L311" s="253"/>
      <c r="M311" s="253"/>
      <c r="N311" s="253"/>
      <c r="O311" s="253"/>
      <c r="P311" s="253"/>
      <c r="Q311" s="253"/>
      <c r="R311" s="253"/>
      <c r="S311" s="253"/>
      <c r="Y311" s="89"/>
      <c r="BI311" s="89"/>
      <c r="BJ311" s="305"/>
    </row>
    <row r="312" spans="1:62" s="2" customFormat="1" ht="19.5" customHeight="1" x14ac:dyDescent="0.2">
      <c r="A312" s="250" t="s">
        <v>315</v>
      </c>
      <c r="B312" s="98" t="s">
        <v>362</v>
      </c>
      <c r="C312" s="122" t="s">
        <v>1666</v>
      </c>
      <c r="D312" s="13">
        <f>1353.95</f>
        <v>1353.95</v>
      </c>
      <c r="E312" s="96"/>
      <c r="F312" s="154">
        <f t="shared" si="14"/>
        <v>1353.95</v>
      </c>
      <c r="G312" s="412"/>
      <c r="H312" s="253"/>
      <c r="I312" s="34"/>
      <c r="J312" s="253"/>
      <c r="K312" s="308"/>
      <c r="L312" s="253"/>
      <c r="M312" s="253"/>
      <c r="N312" s="253"/>
      <c r="O312" s="253"/>
      <c r="P312" s="253"/>
      <c r="Q312" s="253"/>
      <c r="R312" s="253"/>
      <c r="S312" s="253"/>
      <c r="Y312" s="89"/>
      <c r="BI312" s="89"/>
      <c r="BJ312" s="305"/>
    </row>
    <row r="313" spans="1:62" s="2" customFormat="1" ht="22.5" customHeight="1" x14ac:dyDescent="0.2">
      <c r="A313" s="250" t="s">
        <v>1779</v>
      </c>
      <c r="B313" s="98" t="s">
        <v>364</v>
      </c>
      <c r="C313" s="122" t="s">
        <v>1666</v>
      </c>
      <c r="D313" s="13">
        <f>1523.12</f>
        <v>1523.12</v>
      </c>
      <c r="E313" s="96"/>
      <c r="F313" s="154">
        <f t="shared" si="14"/>
        <v>1523.12</v>
      </c>
      <c r="G313" s="412"/>
      <c r="H313" s="253"/>
      <c r="I313" s="34"/>
      <c r="J313" s="253"/>
      <c r="K313" s="308"/>
      <c r="L313" s="253"/>
      <c r="M313" s="253"/>
      <c r="N313" s="253"/>
      <c r="O313" s="253"/>
      <c r="P313" s="253"/>
      <c r="Q313" s="253"/>
      <c r="R313" s="253"/>
      <c r="S313" s="253"/>
      <c r="Y313" s="89"/>
      <c r="BI313" s="89"/>
      <c r="BJ313" s="305"/>
    </row>
    <row r="314" spans="1:62" s="2" customFormat="1" ht="19.5" customHeight="1" x14ac:dyDescent="0.2">
      <c r="A314" s="250" t="s">
        <v>1780</v>
      </c>
      <c r="B314" s="98" t="s">
        <v>366</v>
      </c>
      <c r="C314" s="122" t="s">
        <v>1666</v>
      </c>
      <c r="D314" s="13">
        <f>1617.17</f>
        <v>1617.17</v>
      </c>
      <c r="E314" s="96"/>
      <c r="F314" s="154">
        <f t="shared" si="14"/>
        <v>1617.17</v>
      </c>
      <c r="G314" s="412"/>
      <c r="H314" s="253"/>
      <c r="I314" s="34"/>
      <c r="J314" s="253"/>
      <c r="K314" s="308"/>
      <c r="L314" s="253"/>
      <c r="M314" s="253"/>
      <c r="N314" s="253"/>
      <c r="O314" s="253"/>
      <c r="P314" s="253"/>
      <c r="Q314" s="253"/>
      <c r="R314" s="253"/>
      <c r="S314" s="253"/>
      <c r="Y314" s="89"/>
      <c r="BI314" s="89"/>
      <c r="BJ314" s="305"/>
    </row>
    <row r="315" spans="1:62" s="2" customFormat="1" ht="23.25" customHeight="1" x14ac:dyDescent="0.2">
      <c r="A315" s="250" t="s">
        <v>1781</v>
      </c>
      <c r="B315" s="98" t="s">
        <v>368</v>
      </c>
      <c r="C315" s="122" t="s">
        <v>1666</v>
      </c>
      <c r="D315" s="13">
        <f>1473.35</f>
        <v>1473.35</v>
      </c>
      <c r="E315" s="96"/>
      <c r="F315" s="154">
        <f t="shared" si="14"/>
        <v>1473.35</v>
      </c>
      <c r="G315" s="412"/>
      <c r="H315" s="253"/>
      <c r="I315" s="34"/>
      <c r="J315" s="253"/>
      <c r="K315" s="308"/>
      <c r="L315" s="253"/>
      <c r="M315" s="253"/>
      <c r="N315" s="253"/>
      <c r="O315" s="253"/>
      <c r="P315" s="253"/>
      <c r="Q315" s="253"/>
      <c r="R315" s="253"/>
      <c r="S315" s="253"/>
      <c r="Y315" s="89"/>
      <c r="BI315" s="89"/>
      <c r="BJ315" s="305"/>
    </row>
    <row r="316" spans="1:62" s="2" customFormat="1" ht="24.75" customHeight="1" x14ac:dyDescent="0.2">
      <c r="A316" s="250" t="s">
        <v>1782</v>
      </c>
      <c r="B316" s="98" t="s">
        <v>370</v>
      </c>
      <c r="C316" s="122" t="s">
        <v>1666</v>
      </c>
      <c r="D316" s="13">
        <f>1699.46</f>
        <v>1699.46</v>
      </c>
      <c r="E316" s="96"/>
      <c r="F316" s="154">
        <f t="shared" si="14"/>
        <v>1699.46</v>
      </c>
      <c r="G316" s="412"/>
      <c r="H316" s="253"/>
      <c r="I316" s="34"/>
      <c r="J316" s="253"/>
      <c r="K316" s="308"/>
      <c r="L316" s="253"/>
      <c r="M316" s="253"/>
      <c r="N316" s="253"/>
      <c r="O316" s="253"/>
      <c r="P316" s="253"/>
      <c r="Q316" s="253"/>
      <c r="R316" s="253"/>
      <c r="S316" s="253"/>
      <c r="Y316" s="89"/>
      <c r="BI316" s="89"/>
      <c r="BJ316" s="305"/>
    </row>
    <row r="317" spans="1:62" s="2" customFormat="1" ht="22.5" customHeight="1" x14ac:dyDescent="0.2">
      <c r="A317" s="250" t="s">
        <v>1783</v>
      </c>
      <c r="B317" s="98" t="s">
        <v>372</v>
      </c>
      <c r="C317" s="122" t="s">
        <v>1666</v>
      </c>
      <c r="D317" s="13">
        <f>1951.6</f>
        <v>1951.6</v>
      </c>
      <c r="E317" s="96"/>
      <c r="F317" s="154">
        <f>D325+E317</f>
        <v>2040.74</v>
      </c>
      <c r="G317" s="89"/>
      <c r="H317" s="253"/>
      <c r="I317" s="34"/>
      <c r="J317" s="253"/>
      <c r="K317" s="308"/>
      <c r="L317" s="253"/>
      <c r="M317" s="253"/>
      <c r="N317" s="253"/>
      <c r="O317" s="253"/>
      <c r="P317" s="253"/>
      <c r="Q317" s="253"/>
      <c r="R317" s="253"/>
      <c r="S317" s="253"/>
      <c r="Y317" s="89"/>
      <c r="AK317" s="2" t="s">
        <v>373</v>
      </c>
      <c r="BI317" s="89"/>
      <c r="BJ317" s="305"/>
    </row>
    <row r="318" spans="1:62" s="2" customFormat="1" ht="21.75" customHeight="1" x14ac:dyDescent="0.2">
      <c r="A318" s="250" t="s">
        <v>1784</v>
      </c>
      <c r="B318" s="98" t="s">
        <v>375</v>
      </c>
      <c r="C318" s="122" t="s">
        <v>1666</v>
      </c>
      <c r="D318" s="13">
        <f>1353.95</f>
        <v>1353.95</v>
      </c>
      <c r="E318" s="96"/>
      <c r="F318" s="154">
        <f t="shared" si="14"/>
        <v>1353.95</v>
      </c>
      <c r="G318" s="412"/>
      <c r="H318" s="253"/>
      <c r="I318" s="34"/>
      <c r="J318" s="253"/>
      <c r="K318" s="308"/>
      <c r="L318" s="253"/>
      <c r="M318" s="253"/>
      <c r="N318" s="253"/>
      <c r="O318" s="253"/>
      <c r="P318" s="253"/>
      <c r="Q318" s="253"/>
      <c r="R318" s="253"/>
      <c r="S318" s="253"/>
      <c r="Y318" s="89"/>
      <c r="BI318" s="89"/>
      <c r="BJ318" s="305"/>
    </row>
    <row r="319" spans="1:62" s="2" customFormat="1" ht="20.25" customHeight="1" x14ac:dyDescent="0.2">
      <c r="A319" s="250" t="s">
        <v>1785</v>
      </c>
      <c r="B319" s="98" t="s">
        <v>377</v>
      </c>
      <c r="C319" s="122" t="s">
        <v>1666</v>
      </c>
      <c r="D319" s="13">
        <f>1641.31</f>
        <v>1641.31</v>
      </c>
      <c r="E319" s="96"/>
      <c r="F319" s="154">
        <f t="shared" si="14"/>
        <v>1641.31</v>
      </c>
      <c r="G319" s="412"/>
      <c r="H319" s="253"/>
      <c r="I319" s="34"/>
      <c r="J319" s="253"/>
      <c r="K319" s="308"/>
      <c r="L319" s="253"/>
      <c r="M319" s="253"/>
      <c r="N319" s="253"/>
      <c r="O319" s="253"/>
      <c r="P319" s="253"/>
      <c r="Q319" s="253"/>
      <c r="R319" s="253"/>
      <c r="S319" s="253"/>
      <c r="Y319" s="89"/>
      <c r="BI319" s="89"/>
      <c r="BJ319" s="305"/>
    </row>
    <row r="320" spans="1:62" s="2" customFormat="1" ht="20.25" customHeight="1" x14ac:dyDescent="0.2">
      <c r="A320" s="250" t="s">
        <v>1786</v>
      </c>
      <c r="B320" s="98" t="s">
        <v>379</v>
      </c>
      <c r="C320" s="122" t="s">
        <v>1666</v>
      </c>
      <c r="D320" s="13">
        <f>1426.37</f>
        <v>1426.37</v>
      </c>
      <c r="E320" s="96"/>
      <c r="F320" s="154">
        <f t="shared" si="14"/>
        <v>1426.37</v>
      </c>
      <c r="G320" s="412"/>
      <c r="H320" s="253"/>
      <c r="I320" s="34"/>
      <c r="J320" s="253"/>
      <c r="K320" s="308"/>
      <c r="L320" s="253"/>
      <c r="M320" s="253"/>
      <c r="N320" s="253"/>
      <c r="O320" s="253"/>
      <c r="P320" s="253"/>
      <c r="Q320" s="253"/>
      <c r="R320" s="253"/>
      <c r="S320" s="253"/>
      <c r="Y320" s="89"/>
      <c r="BI320" s="89"/>
      <c r="BJ320" s="305"/>
    </row>
    <row r="321" spans="1:62" s="2" customFormat="1" ht="22.5" customHeight="1" x14ac:dyDescent="0.2">
      <c r="A321" s="250" t="s">
        <v>1787</v>
      </c>
      <c r="B321" s="98" t="s">
        <v>381</v>
      </c>
      <c r="C321" s="122" t="s">
        <v>1666</v>
      </c>
      <c r="D321" s="13">
        <f>1426.37</f>
        <v>1426.37</v>
      </c>
      <c r="E321" s="96"/>
      <c r="F321" s="154">
        <f t="shared" si="14"/>
        <v>1426.37</v>
      </c>
      <c r="G321" s="412"/>
      <c r="H321" s="253"/>
      <c r="I321" s="34"/>
      <c r="J321" s="253"/>
      <c r="K321" s="308"/>
      <c r="L321" s="253"/>
      <c r="M321" s="253"/>
      <c r="N321" s="253"/>
      <c r="O321" s="253"/>
      <c r="P321" s="253"/>
      <c r="Q321" s="253"/>
      <c r="R321" s="253"/>
      <c r="S321" s="253"/>
      <c r="Y321" s="89"/>
      <c r="BI321" s="89"/>
      <c r="BJ321" s="305"/>
    </row>
    <row r="322" spans="1:62" s="2" customFormat="1" ht="21.75" customHeight="1" x14ac:dyDescent="0.2">
      <c r="A322" s="250" t="s">
        <v>1788</v>
      </c>
      <c r="B322" s="98" t="s">
        <v>383</v>
      </c>
      <c r="C322" s="122" t="s">
        <v>1666</v>
      </c>
      <c r="D322" s="13">
        <f>1426.37</f>
        <v>1426.37</v>
      </c>
      <c r="E322" s="96"/>
      <c r="F322" s="154">
        <f t="shared" si="14"/>
        <v>1426.37</v>
      </c>
      <c r="G322" s="412"/>
      <c r="H322" s="253"/>
      <c r="I322" s="34"/>
      <c r="J322" s="253"/>
      <c r="K322" s="308"/>
      <c r="L322" s="253"/>
      <c r="M322" s="253"/>
      <c r="N322" s="253"/>
      <c r="O322" s="253"/>
      <c r="P322" s="253"/>
      <c r="Q322" s="253"/>
      <c r="R322" s="253"/>
      <c r="S322" s="253"/>
      <c r="Y322" s="89"/>
      <c r="BI322" s="89"/>
      <c r="BJ322" s="305"/>
    </row>
    <row r="323" spans="1:62" s="2" customFormat="1" ht="21.75" customHeight="1" x14ac:dyDescent="0.2">
      <c r="A323" s="250" t="s">
        <v>1941</v>
      </c>
      <c r="B323" s="98" t="s">
        <v>385</v>
      </c>
      <c r="C323" s="122" t="s">
        <v>1666</v>
      </c>
      <c r="D323" s="13">
        <f>1544.93</f>
        <v>1544.93</v>
      </c>
      <c r="E323" s="96"/>
      <c r="F323" s="154">
        <f t="shared" si="14"/>
        <v>1544.93</v>
      </c>
      <c r="G323" s="412"/>
      <c r="H323" s="253"/>
      <c r="I323" s="34"/>
      <c r="J323" s="253"/>
      <c r="K323" s="308"/>
      <c r="L323" s="253"/>
      <c r="M323" s="253"/>
      <c r="N323" s="253"/>
      <c r="O323" s="253"/>
      <c r="P323" s="253"/>
      <c r="Q323" s="253"/>
      <c r="R323" s="253"/>
      <c r="S323" s="253"/>
      <c r="Y323" s="89"/>
      <c r="AK323" s="307" t="s">
        <v>334</v>
      </c>
      <c r="BI323" s="89"/>
      <c r="BJ323" s="305"/>
    </row>
    <row r="324" spans="1:62" s="2" customFormat="1" ht="21.75" customHeight="1" x14ac:dyDescent="0.2">
      <c r="A324" s="250" t="s">
        <v>1942</v>
      </c>
      <c r="B324" s="98" t="s">
        <v>387</v>
      </c>
      <c r="C324" s="122" t="s">
        <v>1666</v>
      </c>
      <c r="D324" s="13">
        <f>1352.43</f>
        <v>1352.43</v>
      </c>
      <c r="E324" s="96"/>
      <c r="F324" s="154">
        <f t="shared" si="14"/>
        <v>1352.43</v>
      </c>
      <c r="G324" s="412"/>
      <c r="H324" s="253"/>
      <c r="I324" s="34"/>
      <c r="J324" s="253"/>
      <c r="K324" s="308"/>
      <c r="L324" s="253"/>
      <c r="M324" s="253"/>
      <c r="N324" s="253"/>
      <c r="O324" s="253"/>
      <c r="P324" s="253"/>
      <c r="Q324" s="253"/>
      <c r="R324" s="253"/>
      <c r="S324" s="253"/>
      <c r="Y324" s="89"/>
      <c r="AK324" s="307" t="s">
        <v>334</v>
      </c>
      <c r="BI324" s="89"/>
      <c r="BJ324" s="305"/>
    </row>
    <row r="325" spans="1:62" s="2" customFormat="1" ht="21.75" customHeight="1" x14ac:dyDescent="0.2">
      <c r="A325" s="250" t="s">
        <v>1943</v>
      </c>
      <c r="B325" s="102" t="s">
        <v>389</v>
      </c>
      <c r="C325" s="122" t="s">
        <v>1666</v>
      </c>
      <c r="D325" s="13">
        <f>2040.74</f>
        <v>2040.74</v>
      </c>
      <c r="E325" s="96"/>
      <c r="F325" s="154">
        <f t="shared" si="14"/>
        <v>2040.74</v>
      </c>
      <c r="G325" s="412"/>
      <c r="H325" s="253"/>
      <c r="I325" s="34"/>
      <c r="J325" s="253"/>
      <c r="K325" s="308"/>
      <c r="L325" s="253"/>
      <c r="M325" s="253"/>
      <c r="N325" s="253"/>
      <c r="O325" s="253"/>
      <c r="P325" s="253"/>
      <c r="Q325" s="253"/>
      <c r="R325" s="253"/>
      <c r="S325" s="253"/>
      <c r="Y325" s="89"/>
      <c r="AK325" s="307"/>
      <c r="BI325" s="89"/>
      <c r="BJ325" s="305"/>
    </row>
    <row r="326" spans="1:62" s="2" customFormat="1" ht="30" customHeight="1" x14ac:dyDescent="0.2">
      <c r="A326" s="250" t="s">
        <v>317</v>
      </c>
      <c r="B326" s="457" t="s">
        <v>1936</v>
      </c>
      <c r="C326" s="457"/>
      <c r="D326" s="457"/>
      <c r="E326" s="206"/>
      <c r="F326" s="206"/>
      <c r="G326" s="412"/>
      <c r="H326" s="253"/>
      <c r="I326" s="34"/>
      <c r="J326" s="253"/>
      <c r="K326" s="308"/>
      <c r="L326" s="253"/>
      <c r="M326" s="253"/>
      <c r="N326" s="253"/>
      <c r="O326" s="253"/>
      <c r="P326" s="253"/>
      <c r="Q326" s="253"/>
      <c r="R326" s="253"/>
      <c r="S326" s="253"/>
      <c r="Y326" s="89"/>
      <c r="BI326" s="89"/>
      <c r="BJ326" s="305"/>
    </row>
    <row r="327" spans="1:62" s="2" customFormat="1" ht="21.75" customHeight="1" x14ac:dyDescent="0.2">
      <c r="A327" s="250" t="s">
        <v>319</v>
      </c>
      <c r="B327" s="98" t="s">
        <v>392</v>
      </c>
      <c r="C327" s="122" t="s">
        <v>1666</v>
      </c>
      <c r="D327" s="13">
        <v>5251.67</v>
      </c>
      <c r="E327" s="96"/>
      <c r="F327" s="154">
        <f t="shared" ref="F327:F338" si="15">D327+E327</f>
        <v>5251.67</v>
      </c>
      <c r="G327" s="412"/>
      <c r="H327" s="253"/>
      <c r="I327" s="34"/>
      <c r="J327" s="253"/>
      <c r="K327" s="308"/>
      <c r="L327" s="253"/>
      <c r="M327" s="253"/>
      <c r="N327" s="253"/>
      <c r="O327" s="253"/>
      <c r="P327" s="253"/>
      <c r="Q327" s="253"/>
      <c r="R327" s="253"/>
      <c r="S327" s="253"/>
      <c r="Y327" s="89"/>
      <c r="BI327" s="89"/>
      <c r="BJ327" s="305"/>
    </row>
    <row r="328" spans="1:62" s="2" customFormat="1" ht="18" customHeight="1" x14ac:dyDescent="0.2">
      <c r="A328" s="250" t="s">
        <v>321</v>
      </c>
      <c r="B328" s="98" t="s">
        <v>394</v>
      </c>
      <c r="C328" s="122" t="s">
        <v>1666</v>
      </c>
      <c r="D328" s="13">
        <v>5417.52</v>
      </c>
      <c r="E328" s="96"/>
      <c r="F328" s="154">
        <f t="shared" si="15"/>
        <v>5417.52</v>
      </c>
      <c r="G328" s="412"/>
      <c r="H328" s="253"/>
      <c r="I328" s="34"/>
      <c r="J328" s="253"/>
      <c r="K328" s="308"/>
      <c r="L328" s="253"/>
      <c r="M328" s="253"/>
      <c r="N328" s="253"/>
      <c r="O328" s="253"/>
      <c r="P328" s="253"/>
      <c r="Q328" s="253"/>
      <c r="R328" s="253"/>
      <c r="S328" s="253"/>
      <c r="Y328" s="89"/>
      <c r="BI328" s="89"/>
      <c r="BJ328" s="305"/>
    </row>
    <row r="329" spans="1:62" s="2" customFormat="1" ht="20.25" customHeight="1" x14ac:dyDescent="0.2">
      <c r="A329" s="250" t="s">
        <v>323</v>
      </c>
      <c r="B329" s="98" t="s">
        <v>396</v>
      </c>
      <c r="C329" s="122" t="s">
        <v>1666</v>
      </c>
      <c r="D329" s="13">
        <v>5417.52</v>
      </c>
      <c r="E329" s="96"/>
      <c r="F329" s="154">
        <f t="shared" si="15"/>
        <v>5417.52</v>
      </c>
      <c r="G329" s="412"/>
      <c r="H329" s="253"/>
      <c r="I329" s="34"/>
      <c r="J329" s="253"/>
      <c r="K329" s="308"/>
      <c r="L329" s="253"/>
      <c r="M329" s="253"/>
      <c r="N329" s="253"/>
      <c r="O329" s="253"/>
      <c r="P329" s="253"/>
      <c r="Q329" s="253"/>
      <c r="R329" s="253"/>
      <c r="S329" s="253"/>
      <c r="Y329" s="89"/>
      <c r="BI329" s="89"/>
      <c r="BJ329" s="305"/>
    </row>
    <row r="330" spans="1:62" s="2" customFormat="1" ht="35.25" customHeight="1" x14ac:dyDescent="0.2">
      <c r="A330" s="250" t="s">
        <v>325</v>
      </c>
      <c r="B330" s="98" t="s">
        <v>398</v>
      </c>
      <c r="C330" s="122" t="s">
        <v>1666</v>
      </c>
      <c r="D330" s="13">
        <v>5133.6000000000004</v>
      </c>
      <c r="E330" s="96"/>
      <c r="F330" s="154">
        <f t="shared" si="15"/>
        <v>5133.6000000000004</v>
      </c>
      <c r="G330" s="412"/>
      <c r="H330" s="253"/>
      <c r="I330" s="34"/>
      <c r="J330" s="253"/>
      <c r="K330" s="308"/>
      <c r="L330" s="253"/>
      <c r="M330" s="253"/>
      <c r="N330" s="253"/>
      <c r="O330" s="253"/>
      <c r="P330" s="253"/>
      <c r="Q330" s="253"/>
      <c r="R330" s="253"/>
      <c r="S330" s="253"/>
      <c r="Y330" s="89"/>
      <c r="BI330" s="89"/>
      <c r="BJ330" s="305"/>
    </row>
    <row r="331" spans="1:62" s="2" customFormat="1" ht="20.25" customHeight="1" x14ac:dyDescent="0.2">
      <c r="A331" s="250" t="s">
        <v>327</v>
      </c>
      <c r="B331" s="98" t="s">
        <v>400</v>
      </c>
      <c r="C331" s="122" t="s">
        <v>1666</v>
      </c>
      <c r="D331" s="13">
        <v>5771.57</v>
      </c>
      <c r="E331" s="96"/>
      <c r="F331" s="154">
        <f t="shared" si="15"/>
        <v>5771.57</v>
      </c>
      <c r="G331" s="412"/>
      <c r="H331" s="253"/>
      <c r="I331" s="34"/>
      <c r="J331" s="253"/>
      <c r="K331" s="308"/>
      <c r="L331" s="253"/>
      <c r="M331" s="253"/>
      <c r="N331" s="253"/>
      <c r="O331" s="253"/>
      <c r="P331" s="253"/>
      <c r="Q331" s="253"/>
      <c r="R331" s="253"/>
      <c r="S331" s="253"/>
      <c r="Y331" s="89"/>
      <c r="BI331" s="89"/>
      <c r="BJ331" s="305"/>
    </row>
    <row r="332" spans="1:62" s="2" customFormat="1" ht="20.25" customHeight="1" x14ac:dyDescent="0.2">
      <c r="A332" s="250" t="s">
        <v>329</v>
      </c>
      <c r="B332" s="98" t="s">
        <v>402</v>
      </c>
      <c r="C332" s="122" t="s">
        <v>1666</v>
      </c>
      <c r="D332" s="13">
        <v>5771.57</v>
      </c>
      <c r="E332" s="96"/>
      <c r="F332" s="154">
        <f t="shared" si="15"/>
        <v>5771.57</v>
      </c>
      <c r="G332" s="412"/>
      <c r="H332" s="253"/>
      <c r="I332" s="34"/>
      <c r="J332" s="253"/>
      <c r="K332" s="308"/>
      <c r="L332" s="253"/>
      <c r="M332" s="253"/>
      <c r="N332" s="253"/>
      <c r="O332" s="253"/>
      <c r="P332" s="253"/>
      <c r="Q332" s="253"/>
      <c r="R332" s="253"/>
      <c r="S332" s="253"/>
      <c r="Y332" s="89"/>
      <c r="BI332" s="89"/>
      <c r="BJ332" s="305"/>
    </row>
    <row r="333" spans="1:62" s="2" customFormat="1" ht="21" customHeight="1" x14ac:dyDescent="0.2">
      <c r="A333" s="250" t="s">
        <v>330</v>
      </c>
      <c r="B333" s="98" t="s">
        <v>404</v>
      </c>
      <c r="C333" s="122" t="s">
        <v>1666</v>
      </c>
      <c r="D333" s="13">
        <v>5417.52</v>
      </c>
      <c r="E333" s="96"/>
      <c r="F333" s="154">
        <f t="shared" si="15"/>
        <v>5417.52</v>
      </c>
      <c r="G333" s="412"/>
      <c r="H333" s="253"/>
      <c r="I333" s="34"/>
      <c r="J333" s="253"/>
      <c r="K333" s="308"/>
      <c r="L333" s="253"/>
      <c r="M333" s="253"/>
      <c r="N333" s="253"/>
      <c r="O333" s="253"/>
      <c r="P333" s="253"/>
      <c r="Q333" s="253"/>
      <c r="R333" s="253"/>
      <c r="S333" s="253"/>
      <c r="Y333" s="89"/>
      <c r="BI333" s="89"/>
      <c r="BJ333" s="305"/>
    </row>
    <row r="334" spans="1:62" s="2" customFormat="1" ht="19.5" customHeight="1" x14ac:dyDescent="0.2">
      <c r="A334" s="250" t="s">
        <v>332</v>
      </c>
      <c r="B334" s="98" t="s">
        <v>406</v>
      </c>
      <c r="C334" s="122" t="s">
        <v>1666</v>
      </c>
      <c r="D334" s="13">
        <v>5771.57</v>
      </c>
      <c r="E334" s="96"/>
      <c r="F334" s="154">
        <f t="shared" si="15"/>
        <v>5771.57</v>
      </c>
      <c r="G334" s="412"/>
      <c r="H334" s="253"/>
      <c r="I334" s="34"/>
      <c r="J334" s="253"/>
      <c r="K334" s="308"/>
      <c r="L334" s="253"/>
      <c r="M334" s="253"/>
      <c r="N334" s="253"/>
      <c r="O334" s="253"/>
      <c r="P334" s="253"/>
      <c r="Q334" s="253"/>
      <c r="R334" s="253"/>
      <c r="S334" s="253"/>
      <c r="Y334" s="89"/>
      <c r="BI334" s="89"/>
      <c r="BJ334" s="305"/>
    </row>
    <row r="335" spans="1:62" s="2" customFormat="1" ht="19.5" customHeight="1" x14ac:dyDescent="0.2">
      <c r="A335" s="250" t="s">
        <v>335</v>
      </c>
      <c r="B335" s="98" t="s">
        <v>408</v>
      </c>
      <c r="C335" s="122" t="s">
        <v>1666</v>
      </c>
      <c r="D335" s="13">
        <v>5771.57</v>
      </c>
      <c r="E335" s="96"/>
      <c r="F335" s="154">
        <f t="shared" si="15"/>
        <v>5771.57</v>
      </c>
      <c r="G335" s="412"/>
      <c r="H335" s="253"/>
      <c r="I335" s="34"/>
      <c r="J335" s="253"/>
      <c r="K335" s="308"/>
      <c r="L335" s="253"/>
      <c r="M335" s="253"/>
      <c r="N335" s="253"/>
      <c r="O335" s="253"/>
      <c r="P335" s="253"/>
      <c r="Q335" s="253"/>
      <c r="R335" s="253"/>
      <c r="S335" s="253"/>
      <c r="Y335" s="89"/>
      <c r="BI335" s="89"/>
      <c r="BJ335" s="305"/>
    </row>
    <row r="336" spans="1:62" s="2" customFormat="1" ht="17.25" customHeight="1" x14ac:dyDescent="0.2">
      <c r="A336" s="250" t="s">
        <v>337</v>
      </c>
      <c r="B336" s="98" t="s">
        <v>1990</v>
      </c>
      <c r="C336" s="122" t="s">
        <v>1666</v>
      </c>
      <c r="D336" s="13">
        <v>5251.67</v>
      </c>
      <c r="E336" s="96"/>
      <c r="F336" s="154">
        <f t="shared" si="15"/>
        <v>5251.67</v>
      </c>
      <c r="G336" s="412"/>
      <c r="H336" s="253"/>
      <c r="I336" s="34"/>
      <c r="J336" s="253"/>
      <c r="K336" s="308"/>
      <c r="L336" s="253"/>
      <c r="M336" s="253"/>
      <c r="N336" s="253"/>
      <c r="O336" s="253"/>
      <c r="P336" s="253"/>
      <c r="Q336" s="253"/>
      <c r="R336" s="253"/>
      <c r="S336" s="253"/>
      <c r="Y336" s="89"/>
      <c r="AK336" s="452" t="s">
        <v>410</v>
      </c>
      <c r="AL336" s="452"/>
      <c r="AM336" s="452"/>
      <c r="AN336" s="452"/>
      <c r="AO336" s="452"/>
      <c r="BI336" s="89"/>
      <c r="BJ336" s="305"/>
    </row>
    <row r="337" spans="1:62" s="2" customFormat="1" ht="16.5" customHeight="1" x14ac:dyDescent="0.2">
      <c r="A337" s="250" t="s">
        <v>1991</v>
      </c>
      <c r="B337" s="98" t="s">
        <v>1988</v>
      </c>
      <c r="C337" s="122" t="s">
        <v>1666</v>
      </c>
      <c r="D337" s="13">
        <v>4306.57</v>
      </c>
      <c r="E337" s="96"/>
      <c r="F337" s="154">
        <f t="shared" si="15"/>
        <v>4306.57</v>
      </c>
      <c r="G337" s="412"/>
      <c r="H337" s="253"/>
      <c r="I337" s="34"/>
      <c r="J337" s="253"/>
      <c r="K337" s="308"/>
      <c r="L337" s="253"/>
      <c r="M337" s="253"/>
      <c r="N337" s="253"/>
      <c r="O337" s="253"/>
      <c r="P337" s="253"/>
      <c r="Q337" s="253"/>
      <c r="R337" s="253"/>
      <c r="S337" s="253"/>
      <c r="Y337" s="89"/>
      <c r="AK337" s="310"/>
      <c r="AL337" s="310"/>
      <c r="AM337" s="310"/>
      <c r="AN337" s="310"/>
      <c r="AO337" s="310"/>
      <c r="BI337" s="89"/>
      <c r="BJ337" s="305"/>
    </row>
    <row r="338" spans="1:62" s="2" customFormat="1" ht="18" customHeight="1" x14ac:dyDescent="0.2">
      <c r="A338" s="250" t="s">
        <v>1992</v>
      </c>
      <c r="B338" s="98" t="s">
        <v>1989</v>
      </c>
      <c r="C338" s="122" t="s">
        <v>1666</v>
      </c>
      <c r="D338" s="13">
        <v>4500.66</v>
      </c>
      <c r="E338" s="96"/>
      <c r="F338" s="154">
        <f t="shared" si="15"/>
        <v>4500.66</v>
      </c>
      <c r="G338" s="412"/>
      <c r="H338" s="253"/>
      <c r="I338" s="34"/>
      <c r="J338" s="253"/>
      <c r="K338" s="308"/>
      <c r="L338" s="253"/>
      <c r="M338" s="253"/>
      <c r="N338" s="253"/>
      <c r="O338" s="253"/>
      <c r="P338" s="253"/>
      <c r="Q338" s="253"/>
      <c r="R338" s="253"/>
      <c r="S338" s="253"/>
      <c r="Y338" s="89"/>
      <c r="AK338" s="310"/>
      <c r="AL338" s="310"/>
      <c r="AM338" s="310"/>
      <c r="AN338" s="310"/>
      <c r="AO338" s="310"/>
      <c r="BI338" s="89"/>
      <c r="BJ338" s="305"/>
    </row>
    <row r="339" spans="1:62" s="2" customFormat="1" ht="32.25" customHeight="1" x14ac:dyDescent="0.2">
      <c r="A339" s="250" t="s">
        <v>339</v>
      </c>
      <c r="B339" s="103" t="s">
        <v>412</v>
      </c>
      <c r="C339" s="122" t="s">
        <v>1666</v>
      </c>
      <c r="D339" s="13">
        <f>5563.88</f>
        <v>5563.88</v>
      </c>
      <c r="E339" s="96"/>
      <c r="F339" s="154"/>
      <c r="G339" s="412"/>
      <c r="H339" s="253"/>
      <c r="I339" s="34"/>
      <c r="J339" s="253"/>
      <c r="K339" s="308"/>
      <c r="L339" s="253"/>
      <c r="M339" s="253"/>
      <c r="N339" s="253"/>
      <c r="O339" s="253"/>
      <c r="P339" s="253"/>
      <c r="Q339" s="253"/>
      <c r="R339" s="253"/>
      <c r="S339" s="253"/>
      <c r="Y339" s="89"/>
      <c r="AK339" s="310"/>
      <c r="AL339" s="310"/>
      <c r="AM339" s="310"/>
      <c r="AN339" s="310"/>
      <c r="AO339" s="310"/>
      <c r="BI339" s="89"/>
      <c r="BJ339" s="305"/>
    </row>
    <row r="340" spans="1:62" s="2" customFormat="1" ht="32.25" customHeight="1" x14ac:dyDescent="0.2">
      <c r="A340" s="250" t="s">
        <v>341</v>
      </c>
      <c r="B340" s="103" t="s">
        <v>415</v>
      </c>
      <c r="C340" s="122" t="s">
        <v>1666</v>
      </c>
      <c r="D340" s="13">
        <f>5737.83</f>
        <v>5737.83</v>
      </c>
      <c r="E340" s="96"/>
      <c r="F340" s="154"/>
      <c r="G340" s="412"/>
      <c r="H340" s="253"/>
      <c r="I340" s="34"/>
      <c r="J340" s="253"/>
      <c r="K340" s="308"/>
      <c r="L340" s="253"/>
      <c r="M340" s="253"/>
      <c r="N340" s="253"/>
      <c r="O340" s="253"/>
      <c r="P340" s="253"/>
      <c r="Q340" s="253"/>
      <c r="R340" s="253"/>
      <c r="S340" s="253"/>
      <c r="Y340" s="89"/>
      <c r="AK340" s="310"/>
      <c r="AL340" s="310"/>
      <c r="AM340" s="310"/>
      <c r="AN340" s="310"/>
      <c r="AO340" s="310"/>
      <c r="BI340" s="89"/>
      <c r="BJ340" s="305"/>
    </row>
    <row r="341" spans="1:62" s="2" customFormat="1" ht="19.5" customHeight="1" x14ac:dyDescent="0.2">
      <c r="A341" s="250" t="s">
        <v>1966</v>
      </c>
      <c r="B341" s="103" t="s">
        <v>1935</v>
      </c>
      <c r="C341" s="384" t="s">
        <v>228</v>
      </c>
      <c r="D341" s="13">
        <f>6071.7</f>
        <v>6071.7</v>
      </c>
      <c r="E341" s="96"/>
      <c r="F341" s="154"/>
      <c r="G341" s="412"/>
      <c r="H341" s="253"/>
      <c r="I341" s="34"/>
      <c r="J341" s="253"/>
      <c r="K341" s="308"/>
      <c r="L341" s="253"/>
      <c r="M341" s="253"/>
      <c r="N341" s="253"/>
      <c r="O341" s="253"/>
      <c r="P341" s="253"/>
      <c r="Q341" s="253"/>
      <c r="R341" s="253"/>
      <c r="S341" s="253"/>
      <c r="Y341" s="89"/>
      <c r="AK341" s="310"/>
      <c r="AL341" s="310"/>
      <c r="AM341" s="310"/>
      <c r="AN341" s="310"/>
      <c r="AO341" s="310"/>
      <c r="BI341" s="89"/>
      <c r="BJ341" s="305"/>
    </row>
    <row r="342" spans="1:62" s="2" customFormat="1" ht="18" customHeight="1" x14ac:dyDescent="0.2">
      <c r="A342" s="250" t="s">
        <v>1967</v>
      </c>
      <c r="B342" s="103" t="s">
        <v>1937</v>
      </c>
      <c r="C342" s="384" t="s">
        <v>228</v>
      </c>
      <c r="D342" s="13">
        <f>6090.5</f>
        <v>6090.5</v>
      </c>
      <c r="E342" s="96"/>
      <c r="F342" s="154"/>
      <c r="G342" s="412"/>
      <c r="H342" s="253"/>
      <c r="I342" s="34"/>
      <c r="J342" s="253"/>
      <c r="K342" s="308"/>
      <c r="L342" s="253"/>
      <c r="M342" s="253"/>
      <c r="N342" s="253"/>
      <c r="O342" s="253"/>
      <c r="P342" s="253"/>
      <c r="Q342" s="253"/>
      <c r="R342" s="253"/>
      <c r="S342" s="253"/>
      <c r="Y342" s="89"/>
      <c r="AK342" s="310"/>
      <c r="AL342" s="310"/>
      <c r="AM342" s="310"/>
      <c r="AN342" s="310"/>
      <c r="AO342" s="310"/>
      <c r="BI342" s="89"/>
      <c r="BJ342" s="305"/>
    </row>
    <row r="343" spans="1:62" s="2" customFormat="1" ht="30.75" customHeight="1" x14ac:dyDescent="0.2">
      <c r="A343" s="250" t="s">
        <v>1968</v>
      </c>
      <c r="B343" s="103" t="s">
        <v>1938</v>
      </c>
      <c r="C343" s="384" t="s">
        <v>228</v>
      </c>
      <c r="D343" s="13">
        <f>6044.73</f>
        <v>6044.73</v>
      </c>
      <c r="E343" s="96"/>
      <c r="F343" s="154"/>
      <c r="G343" s="412"/>
      <c r="H343" s="253"/>
      <c r="I343" s="34"/>
      <c r="J343" s="253"/>
      <c r="K343" s="308"/>
      <c r="L343" s="253"/>
      <c r="M343" s="253"/>
      <c r="N343" s="253"/>
      <c r="O343" s="253"/>
      <c r="P343" s="253"/>
      <c r="Q343" s="253"/>
      <c r="R343" s="253"/>
      <c r="S343" s="253"/>
      <c r="Y343" s="89"/>
      <c r="AK343" s="310"/>
      <c r="AL343" s="310"/>
      <c r="AM343" s="310"/>
      <c r="AN343" s="310"/>
      <c r="AO343" s="310"/>
      <c r="BI343" s="89"/>
      <c r="BJ343" s="305"/>
    </row>
    <row r="344" spans="1:62" s="2" customFormat="1" ht="18.75" customHeight="1" x14ac:dyDescent="0.2">
      <c r="A344" s="250" t="s">
        <v>1969</v>
      </c>
      <c r="B344" s="103" t="s">
        <v>1939</v>
      </c>
      <c r="C344" s="384" t="s">
        <v>228</v>
      </c>
      <c r="D344" s="13">
        <f>5715.5</f>
        <v>5715.5</v>
      </c>
      <c r="E344" s="96"/>
      <c r="F344" s="154"/>
      <c r="G344" s="412"/>
      <c r="H344" s="253"/>
      <c r="I344" s="34"/>
      <c r="J344" s="253"/>
      <c r="K344" s="308"/>
      <c r="L344" s="253"/>
      <c r="M344" s="253"/>
      <c r="N344" s="253"/>
      <c r="O344" s="253"/>
      <c r="P344" s="253"/>
      <c r="Q344" s="253"/>
      <c r="R344" s="253"/>
      <c r="S344" s="253"/>
      <c r="Y344" s="89"/>
      <c r="AK344" s="310"/>
      <c r="AL344" s="310"/>
      <c r="AM344" s="310"/>
      <c r="AN344" s="310"/>
      <c r="AO344" s="310"/>
      <c r="BI344" s="89"/>
      <c r="BJ344" s="305"/>
    </row>
    <row r="345" spans="1:62" s="2" customFormat="1" ht="17.25" customHeight="1" x14ac:dyDescent="0.2">
      <c r="A345" s="250" t="s">
        <v>1970</v>
      </c>
      <c r="B345" s="103" t="s">
        <v>1940</v>
      </c>
      <c r="C345" s="384" t="s">
        <v>228</v>
      </c>
      <c r="D345" s="13">
        <f>5715.5</f>
        <v>5715.5</v>
      </c>
      <c r="E345" s="96"/>
      <c r="F345" s="154"/>
      <c r="G345" s="412"/>
      <c r="H345" s="253"/>
      <c r="I345" s="34"/>
      <c r="J345" s="253"/>
      <c r="K345" s="308"/>
      <c r="L345" s="253"/>
      <c r="M345" s="253"/>
      <c r="N345" s="253"/>
      <c r="O345" s="253"/>
      <c r="P345" s="253"/>
      <c r="Q345" s="253"/>
      <c r="R345" s="253"/>
      <c r="S345" s="253"/>
      <c r="Y345" s="89"/>
      <c r="AK345" s="310"/>
      <c r="AL345" s="310"/>
      <c r="AM345" s="310"/>
      <c r="AN345" s="310"/>
      <c r="AO345" s="310"/>
      <c r="BI345" s="89"/>
      <c r="BJ345" s="305"/>
    </row>
    <row r="346" spans="1:62" s="2" customFormat="1" ht="41.25" customHeight="1" x14ac:dyDescent="0.2">
      <c r="A346" s="250" t="s">
        <v>2224</v>
      </c>
      <c r="B346" s="103" t="s">
        <v>2234</v>
      </c>
      <c r="C346" s="384" t="s">
        <v>228</v>
      </c>
      <c r="D346" s="85">
        <v>12854.77</v>
      </c>
      <c r="E346" s="96"/>
      <c r="F346" s="154"/>
      <c r="G346" s="412"/>
      <c r="H346" s="253"/>
      <c r="I346" s="34"/>
      <c r="J346" s="253"/>
      <c r="K346" s="308"/>
      <c r="L346" s="253"/>
      <c r="M346" s="253"/>
      <c r="N346" s="253"/>
      <c r="O346" s="253"/>
      <c r="P346" s="253"/>
      <c r="Q346" s="253"/>
      <c r="R346" s="253"/>
      <c r="S346" s="253"/>
      <c r="Y346" s="89"/>
      <c r="AK346" s="310"/>
      <c r="AL346" s="310"/>
      <c r="AM346" s="310"/>
      <c r="AN346" s="310"/>
      <c r="AO346" s="310"/>
      <c r="BI346" s="89"/>
      <c r="BJ346" s="305"/>
    </row>
    <row r="347" spans="1:62" s="2" customFormat="1" ht="41.25" customHeight="1" x14ac:dyDescent="0.2">
      <c r="A347" s="250" t="s">
        <v>2225</v>
      </c>
      <c r="B347" s="103" t="s">
        <v>2235</v>
      </c>
      <c r="C347" s="384" t="s">
        <v>228</v>
      </c>
      <c r="D347" s="298">
        <v>12233.84</v>
      </c>
      <c r="E347" s="96"/>
      <c r="F347" s="154"/>
      <c r="G347" s="412"/>
      <c r="H347" s="253"/>
      <c r="I347" s="34"/>
      <c r="J347" s="253"/>
      <c r="K347" s="308"/>
      <c r="L347" s="253"/>
      <c r="M347" s="253"/>
      <c r="N347" s="253"/>
      <c r="O347" s="253"/>
      <c r="P347" s="253"/>
      <c r="Q347" s="253"/>
      <c r="R347" s="253"/>
      <c r="S347" s="253"/>
      <c r="Y347" s="89"/>
      <c r="AK347" s="310"/>
      <c r="AL347" s="310"/>
      <c r="AM347" s="310"/>
      <c r="AN347" s="310"/>
      <c r="AO347" s="310"/>
      <c r="BI347" s="89"/>
      <c r="BJ347" s="305"/>
    </row>
    <row r="348" spans="1:62" s="2" customFormat="1" ht="41.25" customHeight="1" x14ac:dyDescent="0.2">
      <c r="A348" s="250" t="s">
        <v>2226</v>
      </c>
      <c r="B348" s="103" t="s">
        <v>2236</v>
      </c>
      <c r="C348" s="384" t="s">
        <v>228</v>
      </c>
      <c r="D348" s="298">
        <v>3065.81</v>
      </c>
      <c r="E348" s="96"/>
      <c r="F348" s="154"/>
      <c r="G348" s="412"/>
      <c r="H348" s="253"/>
      <c r="I348" s="34"/>
      <c r="J348" s="253"/>
      <c r="K348" s="308"/>
      <c r="L348" s="253"/>
      <c r="M348" s="253"/>
      <c r="N348" s="253"/>
      <c r="O348" s="253"/>
      <c r="P348" s="253"/>
      <c r="Q348" s="253"/>
      <c r="R348" s="253"/>
      <c r="S348" s="253"/>
      <c r="Y348" s="89"/>
      <c r="AK348" s="310"/>
      <c r="AL348" s="310"/>
      <c r="AM348" s="310"/>
      <c r="AN348" s="310"/>
      <c r="AO348" s="310"/>
      <c r="BI348" s="89"/>
      <c r="BJ348" s="305"/>
    </row>
    <row r="349" spans="1:62" s="2" customFormat="1" ht="41.25" customHeight="1" x14ac:dyDescent="0.2">
      <c r="A349" s="250" t="s">
        <v>2227</v>
      </c>
      <c r="B349" s="103" t="s">
        <v>2237</v>
      </c>
      <c r="C349" s="384" t="s">
        <v>228</v>
      </c>
      <c r="D349" s="298">
        <v>12483.74</v>
      </c>
      <c r="E349" s="96"/>
      <c r="F349" s="154"/>
      <c r="G349" s="412"/>
      <c r="H349" s="253"/>
      <c r="I349" s="34"/>
      <c r="J349" s="253"/>
      <c r="K349" s="308"/>
      <c r="L349" s="253"/>
      <c r="M349" s="253"/>
      <c r="N349" s="253"/>
      <c r="O349" s="253"/>
      <c r="P349" s="253"/>
      <c r="Q349" s="253"/>
      <c r="R349" s="253"/>
      <c r="S349" s="253"/>
      <c r="Y349" s="89"/>
      <c r="AK349" s="310"/>
      <c r="AL349" s="310"/>
      <c r="AM349" s="310"/>
      <c r="AN349" s="310"/>
      <c r="AO349" s="310"/>
      <c r="BI349" s="89"/>
      <c r="BJ349" s="305"/>
    </row>
    <row r="350" spans="1:62" s="2" customFormat="1" ht="52.5" customHeight="1" x14ac:dyDescent="0.2">
      <c r="A350" s="250" t="s">
        <v>2228</v>
      </c>
      <c r="B350" s="103" t="s">
        <v>2238</v>
      </c>
      <c r="C350" s="384" t="s">
        <v>228</v>
      </c>
      <c r="D350" s="298">
        <v>12573.42</v>
      </c>
      <c r="E350" s="96"/>
      <c r="F350" s="154"/>
      <c r="G350" s="412"/>
      <c r="H350" s="253"/>
      <c r="I350" s="34"/>
      <c r="J350" s="253"/>
      <c r="K350" s="308"/>
      <c r="L350" s="253"/>
      <c r="M350" s="253"/>
      <c r="N350" s="253"/>
      <c r="O350" s="253"/>
      <c r="P350" s="253"/>
      <c r="Q350" s="253"/>
      <c r="R350" s="253"/>
      <c r="S350" s="253"/>
      <c r="Y350" s="89"/>
      <c r="AK350" s="310"/>
      <c r="AL350" s="310"/>
      <c r="AM350" s="310"/>
      <c r="AN350" s="310"/>
      <c r="AO350" s="310"/>
      <c r="BI350" s="89"/>
      <c r="BJ350" s="305"/>
    </row>
    <row r="351" spans="1:62" s="2" customFormat="1" ht="57.75" customHeight="1" x14ac:dyDescent="0.2">
      <c r="A351" s="250" t="s">
        <v>2229</v>
      </c>
      <c r="B351" s="103" t="s">
        <v>2239</v>
      </c>
      <c r="C351" s="384" t="s">
        <v>228</v>
      </c>
      <c r="D351" s="298">
        <v>10908.54</v>
      </c>
      <c r="E351" s="96"/>
      <c r="F351" s="154"/>
      <c r="G351" s="412"/>
      <c r="H351" s="253"/>
      <c r="I351" s="34"/>
      <c r="J351" s="253"/>
      <c r="K351" s="308"/>
      <c r="L351" s="253"/>
      <c r="M351" s="253"/>
      <c r="N351" s="253"/>
      <c r="O351" s="253"/>
      <c r="P351" s="253"/>
      <c r="Q351" s="253"/>
      <c r="R351" s="253"/>
      <c r="S351" s="253"/>
      <c r="Y351" s="89"/>
      <c r="AK351" s="310"/>
      <c r="AL351" s="310"/>
      <c r="AM351" s="310"/>
      <c r="AN351" s="310"/>
      <c r="AO351" s="310"/>
      <c r="BI351" s="89"/>
      <c r="BJ351" s="305"/>
    </row>
    <row r="352" spans="1:62" s="2" customFormat="1" ht="41.25" customHeight="1" x14ac:dyDescent="0.2">
      <c r="A352" s="250" t="s">
        <v>2230</v>
      </c>
      <c r="B352" s="103" t="s">
        <v>2240</v>
      </c>
      <c r="C352" s="384" t="s">
        <v>228</v>
      </c>
      <c r="D352" s="298">
        <v>12945.24</v>
      </c>
      <c r="E352" s="96"/>
      <c r="F352" s="154"/>
      <c r="G352" s="412"/>
      <c r="H352" s="253"/>
      <c r="I352" s="34"/>
      <c r="J352" s="253"/>
      <c r="K352" s="308"/>
      <c r="L352" s="253"/>
      <c r="M352" s="253"/>
      <c r="N352" s="253"/>
      <c r="O352" s="253"/>
      <c r="P352" s="253"/>
      <c r="Q352" s="253"/>
      <c r="R352" s="253"/>
      <c r="S352" s="253"/>
      <c r="Y352" s="89"/>
      <c r="AK352" s="310"/>
      <c r="AL352" s="310"/>
      <c r="AM352" s="310"/>
      <c r="AN352" s="310"/>
      <c r="AO352" s="310"/>
      <c r="BI352" s="89"/>
      <c r="BJ352" s="305"/>
    </row>
    <row r="353" spans="1:62" s="2" customFormat="1" ht="41.25" customHeight="1" x14ac:dyDescent="0.2">
      <c r="A353" s="250" t="s">
        <v>2231</v>
      </c>
      <c r="B353" s="103" t="s">
        <v>2241</v>
      </c>
      <c r="C353" s="384" t="s">
        <v>228</v>
      </c>
      <c r="D353" s="298">
        <v>5425.65</v>
      </c>
      <c r="E353" s="96"/>
      <c r="F353" s="154"/>
      <c r="G353" s="412"/>
      <c r="H353" s="253"/>
      <c r="I353" s="34"/>
      <c r="J353" s="253"/>
      <c r="K353" s="308"/>
      <c r="L353" s="253"/>
      <c r="M353" s="253"/>
      <c r="N353" s="253"/>
      <c r="O353" s="253"/>
      <c r="P353" s="253"/>
      <c r="Q353" s="253"/>
      <c r="R353" s="253"/>
      <c r="S353" s="253"/>
      <c r="Y353" s="89"/>
      <c r="AK353" s="310"/>
      <c r="AL353" s="310"/>
      <c r="AM353" s="310"/>
      <c r="AN353" s="310"/>
      <c r="AO353" s="310"/>
      <c r="BI353" s="89"/>
      <c r="BJ353" s="305"/>
    </row>
    <row r="354" spans="1:62" s="2" customFormat="1" ht="41.25" customHeight="1" x14ac:dyDescent="0.2">
      <c r="A354" s="250" t="s">
        <v>2232</v>
      </c>
      <c r="B354" s="103" t="s">
        <v>2242</v>
      </c>
      <c r="C354" s="384" t="s">
        <v>228</v>
      </c>
      <c r="D354" s="298">
        <v>7147.07</v>
      </c>
      <c r="E354" s="96"/>
      <c r="F354" s="154"/>
      <c r="G354" s="412"/>
      <c r="H354" s="253"/>
      <c r="I354" s="34"/>
      <c r="J354" s="253"/>
      <c r="K354" s="308"/>
      <c r="L354" s="253"/>
      <c r="M354" s="253"/>
      <c r="N354" s="253"/>
      <c r="O354" s="253"/>
      <c r="P354" s="253"/>
      <c r="Q354" s="253"/>
      <c r="R354" s="253"/>
      <c r="S354" s="253"/>
      <c r="Y354" s="89"/>
      <c r="AK354" s="310"/>
      <c r="AL354" s="310"/>
      <c r="AM354" s="310"/>
      <c r="AN354" s="310"/>
      <c r="AO354" s="310"/>
      <c r="BI354" s="89"/>
      <c r="BJ354" s="305"/>
    </row>
    <row r="355" spans="1:62" s="2" customFormat="1" ht="41.25" customHeight="1" x14ac:dyDescent="0.2">
      <c r="A355" s="250" t="s">
        <v>2233</v>
      </c>
      <c r="B355" s="103" t="s">
        <v>2243</v>
      </c>
      <c r="C355" s="384" t="s">
        <v>228</v>
      </c>
      <c r="D355" s="298">
        <v>5488.61</v>
      </c>
      <c r="E355" s="96"/>
      <c r="F355" s="154"/>
      <c r="G355" s="412"/>
      <c r="H355" s="253"/>
      <c r="I355" s="34"/>
      <c r="J355" s="253"/>
      <c r="K355" s="308"/>
      <c r="L355" s="253"/>
      <c r="M355" s="253"/>
      <c r="N355" s="253"/>
      <c r="O355" s="253"/>
      <c r="P355" s="253"/>
      <c r="Q355" s="253"/>
      <c r="R355" s="253"/>
      <c r="S355" s="253"/>
      <c r="Y355" s="89"/>
      <c r="AK355" s="310"/>
      <c r="AL355" s="310"/>
      <c r="AM355" s="310"/>
      <c r="AN355" s="310"/>
      <c r="AO355" s="310"/>
      <c r="BI355" s="89"/>
      <c r="BJ355" s="305"/>
    </row>
    <row r="356" spans="1:62" s="2" customFormat="1" ht="41.25" customHeight="1" x14ac:dyDescent="0.2">
      <c r="A356" s="250" t="s">
        <v>2297</v>
      </c>
      <c r="B356" s="103" t="s">
        <v>2286</v>
      </c>
      <c r="C356" s="384" t="s">
        <v>228</v>
      </c>
      <c r="D356" s="298">
        <v>7837.44</v>
      </c>
      <c r="E356" s="96"/>
      <c r="F356" s="154"/>
      <c r="G356" s="412"/>
      <c r="H356" s="253"/>
      <c r="I356" s="34"/>
      <c r="J356" s="253"/>
      <c r="K356" s="308"/>
      <c r="L356" s="253"/>
      <c r="M356" s="253"/>
      <c r="N356" s="253"/>
      <c r="O356" s="253"/>
      <c r="P356" s="253"/>
      <c r="Q356" s="253"/>
      <c r="R356" s="253"/>
      <c r="S356" s="253"/>
      <c r="Y356" s="89"/>
      <c r="AK356" s="366"/>
      <c r="AL356" s="366"/>
      <c r="AM356" s="366"/>
      <c r="AN356" s="366"/>
      <c r="AO356" s="366"/>
      <c r="BI356" s="89"/>
      <c r="BJ356" s="305"/>
    </row>
    <row r="357" spans="1:62" s="2" customFormat="1" ht="41.25" customHeight="1" x14ac:dyDescent="0.2">
      <c r="A357" s="250" t="s">
        <v>2298</v>
      </c>
      <c r="B357" s="103" t="s">
        <v>2287</v>
      </c>
      <c r="C357" s="384" t="s">
        <v>228</v>
      </c>
      <c r="D357" s="298">
        <v>8963.56</v>
      </c>
      <c r="E357" s="96"/>
      <c r="F357" s="154"/>
      <c r="G357" s="412"/>
      <c r="H357" s="253"/>
      <c r="I357" s="34"/>
      <c r="J357" s="253"/>
      <c r="K357" s="308"/>
      <c r="L357" s="253"/>
      <c r="M357" s="253"/>
      <c r="N357" s="253"/>
      <c r="O357" s="253"/>
      <c r="P357" s="253"/>
      <c r="Q357" s="253"/>
      <c r="R357" s="253"/>
      <c r="S357" s="253"/>
      <c r="Y357" s="89"/>
      <c r="AK357" s="366"/>
      <c r="AL357" s="366"/>
      <c r="AM357" s="366"/>
      <c r="AN357" s="366"/>
      <c r="AO357" s="366"/>
      <c r="BI357" s="89"/>
      <c r="BJ357" s="305"/>
    </row>
    <row r="358" spans="1:62" s="2" customFormat="1" ht="41.25" customHeight="1" x14ac:dyDescent="0.2">
      <c r="A358" s="250" t="s">
        <v>2299</v>
      </c>
      <c r="B358" s="103" t="s">
        <v>2288</v>
      </c>
      <c r="C358" s="384" t="s">
        <v>228</v>
      </c>
      <c r="D358" s="298">
        <v>8500.9500000000007</v>
      </c>
      <c r="E358" s="96"/>
      <c r="F358" s="154"/>
      <c r="G358" s="412"/>
      <c r="H358" s="253"/>
      <c r="I358" s="34"/>
      <c r="J358" s="253"/>
      <c r="K358" s="308"/>
      <c r="L358" s="253"/>
      <c r="M358" s="253"/>
      <c r="N358" s="253"/>
      <c r="O358" s="253"/>
      <c r="P358" s="253"/>
      <c r="Q358" s="253"/>
      <c r="R358" s="253"/>
      <c r="S358" s="253"/>
      <c r="Y358" s="89"/>
      <c r="AK358" s="366"/>
      <c r="AL358" s="366"/>
      <c r="AM358" s="366"/>
      <c r="AN358" s="366"/>
      <c r="AO358" s="366"/>
      <c r="BI358" s="89"/>
      <c r="BJ358" s="305"/>
    </row>
    <row r="359" spans="1:62" s="2" customFormat="1" ht="41.25" customHeight="1" x14ac:dyDescent="0.2">
      <c r="A359" s="250" t="s">
        <v>2300</v>
      </c>
      <c r="B359" s="103" t="s">
        <v>2289</v>
      </c>
      <c r="C359" s="384" t="s">
        <v>228</v>
      </c>
      <c r="D359" s="298">
        <v>7279.53</v>
      </c>
      <c r="E359" s="96"/>
      <c r="F359" s="154"/>
      <c r="G359" s="412"/>
      <c r="H359" s="253"/>
      <c r="I359" s="34"/>
      <c r="J359" s="253"/>
      <c r="K359" s="308"/>
      <c r="L359" s="253"/>
      <c r="M359" s="253"/>
      <c r="N359" s="253"/>
      <c r="O359" s="253"/>
      <c r="P359" s="253"/>
      <c r="Q359" s="253"/>
      <c r="R359" s="253"/>
      <c r="S359" s="253"/>
      <c r="Y359" s="89"/>
      <c r="AK359" s="366"/>
      <c r="AL359" s="366"/>
      <c r="AM359" s="366"/>
      <c r="AN359" s="366"/>
      <c r="AO359" s="366"/>
      <c r="BI359" s="89"/>
      <c r="BJ359" s="305"/>
    </row>
    <row r="360" spans="1:62" s="2" customFormat="1" ht="41.25" customHeight="1" x14ac:dyDescent="0.2">
      <c r="A360" s="250" t="s">
        <v>2301</v>
      </c>
      <c r="B360" s="103" t="s">
        <v>2290</v>
      </c>
      <c r="C360" s="384" t="s">
        <v>228</v>
      </c>
      <c r="D360" s="298">
        <v>6996.46</v>
      </c>
      <c r="E360" s="96"/>
      <c r="F360" s="154"/>
      <c r="G360" s="412"/>
      <c r="H360" s="253"/>
      <c r="I360" s="34"/>
      <c r="J360" s="253"/>
      <c r="K360" s="308"/>
      <c r="L360" s="253"/>
      <c r="M360" s="253"/>
      <c r="N360" s="253"/>
      <c r="O360" s="253"/>
      <c r="P360" s="253"/>
      <c r="Q360" s="253"/>
      <c r="R360" s="253"/>
      <c r="S360" s="253"/>
      <c r="Y360" s="89"/>
      <c r="AK360" s="366"/>
      <c r="AL360" s="366"/>
      <c r="AM360" s="366"/>
      <c r="AN360" s="366"/>
      <c r="AO360" s="366"/>
      <c r="BI360" s="89"/>
      <c r="BJ360" s="305"/>
    </row>
    <row r="361" spans="1:62" s="2" customFormat="1" ht="50.25" customHeight="1" x14ac:dyDescent="0.2">
      <c r="A361" s="250" t="s">
        <v>2302</v>
      </c>
      <c r="B361" s="103" t="s">
        <v>2291</v>
      </c>
      <c r="C361" s="384" t="s">
        <v>228</v>
      </c>
      <c r="D361" s="298">
        <v>7363.94</v>
      </c>
      <c r="E361" s="96"/>
      <c r="F361" s="154"/>
      <c r="G361" s="412"/>
      <c r="H361" s="253"/>
      <c r="I361" s="34"/>
      <c r="J361" s="253"/>
      <c r="K361" s="308"/>
      <c r="L361" s="253"/>
      <c r="M361" s="253"/>
      <c r="N361" s="253"/>
      <c r="O361" s="253"/>
      <c r="P361" s="253"/>
      <c r="Q361" s="253"/>
      <c r="R361" s="253"/>
      <c r="S361" s="253"/>
      <c r="Y361" s="89"/>
      <c r="AK361" s="366"/>
      <c r="AL361" s="366"/>
      <c r="AM361" s="366"/>
      <c r="AN361" s="366"/>
      <c r="AO361" s="366"/>
      <c r="BI361" s="89"/>
      <c r="BJ361" s="305"/>
    </row>
    <row r="362" spans="1:62" s="2" customFormat="1" ht="41.25" customHeight="1" x14ac:dyDescent="0.2">
      <c r="A362" s="250" t="s">
        <v>2303</v>
      </c>
      <c r="B362" s="103" t="s">
        <v>2292</v>
      </c>
      <c r="C362" s="384" t="s">
        <v>228</v>
      </c>
      <c r="D362" s="298">
        <v>7463.37</v>
      </c>
      <c r="E362" s="96"/>
      <c r="F362" s="154"/>
      <c r="G362" s="412"/>
      <c r="H362" s="253"/>
      <c r="I362" s="34"/>
      <c r="J362" s="253"/>
      <c r="K362" s="308"/>
      <c r="L362" s="253"/>
      <c r="M362" s="253"/>
      <c r="N362" s="253"/>
      <c r="O362" s="253"/>
      <c r="P362" s="253"/>
      <c r="Q362" s="253"/>
      <c r="R362" s="253"/>
      <c r="S362" s="253"/>
      <c r="Y362" s="89"/>
      <c r="AK362" s="366"/>
      <c r="AL362" s="366"/>
      <c r="AM362" s="366"/>
      <c r="AN362" s="366"/>
      <c r="AO362" s="366"/>
      <c r="BI362" s="89"/>
      <c r="BJ362" s="305"/>
    </row>
    <row r="363" spans="1:62" s="2" customFormat="1" ht="41.25" customHeight="1" x14ac:dyDescent="0.2">
      <c r="A363" s="250" t="s">
        <v>2304</v>
      </c>
      <c r="B363" s="103" t="s">
        <v>2293</v>
      </c>
      <c r="C363" s="384" t="s">
        <v>228</v>
      </c>
      <c r="D363" s="298">
        <v>9010.7900000000009</v>
      </c>
      <c r="E363" s="96"/>
      <c r="F363" s="154"/>
      <c r="G363" s="412"/>
      <c r="H363" s="253"/>
      <c r="I363" s="34"/>
      <c r="J363" s="253"/>
      <c r="K363" s="308"/>
      <c r="L363" s="253"/>
      <c r="M363" s="253"/>
      <c r="N363" s="253"/>
      <c r="O363" s="253"/>
      <c r="P363" s="253"/>
      <c r="Q363" s="253"/>
      <c r="R363" s="253"/>
      <c r="S363" s="253"/>
      <c r="Y363" s="89"/>
      <c r="AK363" s="366"/>
      <c r="AL363" s="366"/>
      <c r="AM363" s="366"/>
      <c r="AN363" s="366"/>
      <c r="AO363" s="366"/>
      <c r="BI363" s="89"/>
      <c r="BJ363" s="305"/>
    </row>
    <row r="364" spans="1:62" s="2" customFormat="1" ht="50.25" customHeight="1" x14ac:dyDescent="0.2">
      <c r="A364" s="250" t="s">
        <v>2305</v>
      </c>
      <c r="B364" s="103" t="s">
        <v>2294</v>
      </c>
      <c r="C364" s="384" t="s">
        <v>228</v>
      </c>
      <c r="D364" s="298">
        <v>13272.96</v>
      </c>
      <c r="E364" s="96"/>
      <c r="F364" s="154"/>
      <c r="G364" s="412"/>
      <c r="H364" s="253"/>
      <c r="I364" s="34"/>
      <c r="J364" s="253"/>
      <c r="K364" s="308"/>
      <c r="L364" s="253"/>
      <c r="M364" s="253"/>
      <c r="N364" s="253"/>
      <c r="O364" s="253"/>
      <c r="P364" s="253"/>
      <c r="Q364" s="253"/>
      <c r="R364" s="253"/>
      <c r="S364" s="253"/>
      <c r="Y364" s="89"/>
      <c r="AK364" s="366"/>
      <c r="AL364" s="366"/>
      <c r="AM364" s="366"/>
      <c r="AN364" s="366"/>
      <c r="AO364" s="366"/>
      <c r="BI364" s="89"/>
      <c r="BJ364" s="305"/>
    </row>
    <row r="365" spans="1:62" s="2" customFormat="1" ht="41.25" customHeight="1" x14ac:dyDescent="0.2">
      <c r="A365" s="250" t="s">
        <v>2306</v>
      </c>
      <c r="B365" s="103" t="s">
        <v>2295</v>
      </c>
      <c r="C365" s="384" t="s">
        <v>228</v>
      </c>
      <c r="D365" s="298">
        <v>13219.28</v>
      </c>
      <c r="E365" s="96"/>
      <c r="F365" s="154"/>
      <c r="G365" s="412"/>
      <c r="H365" s="253"/>
      <c r="I365" s="34"/>
      <c r="J365" s="253"/>
      <c r="K365" s="308"/>
      <c r="L365" s="253"/>
      <c r="M365" s="253"/>
      <c r="N365" s="253"/>
      <c r="O365" s="253"/>
      <c r="P365" s="253"/>
      <c r="Q365" s="253"/>
      <c r="R365" s="253"/>
      <c r="S365" s="253"/>
      <c r="Y365" s="89"/>
      <c r="AK365" s="366"/>
      <c r="AL365" s="366"/>
      <c r="AM365" s="366"/>
      <c r="AN365" s="366"/>
      <c r="AO365" s="366"/>
      <c r="BI365" s="89"/>
      <c r="BJ365" s="305"/>
    </row>
    <row r="366" spans="1:62" s="2" customFormat="1" ht="51.75" customHeight="1" x14ac:dyDescent="0.2">
      <c r="A366" s="250" t="s">
        <v>2307</v>
      </c>
      <c r="B366" s="103" t="s">
        <v>2296</v>
      </c>
      <c r="C366" s="384" t="s">
        <v>228</v>
      </c>
      <c r="D366" s="298">
        <v>13249.42</v>
      </c>
      <c r="E366" s="96"/>
      <c r="F366" s="154"/>
      <c r="G366" s="412"/>
      <c r="H366" s="253"/>
      <c r="I366" s="34"/>
      <c r="J366" s="253"/>
      <c r="K366" s="308"/>
      <c r="L366" s="253"/>
      <c r="M366" s="253"/>
      <c r="N366" s="253"/>
      <c r="O366" s="253"/>
      <c r="P366" s="253"/>
      <c r="Q366" s="253"/>
      <c r="R366" s="253"/>
      <c r="S366" s="253"/>
      <c r="Y366" s="89"/>
      <c r="AK366" s="366"/>
      <c r="AL366" s="366"/>
      <c r="AM366" s="366"/>
      <c r="AN366" s="366"/>
      <c r="AO366" s="366"/>
      <c r="BI366" s="89"/>
      <c r="BJ366" s="305"/>
    </row>
    <row r="367" spans="1:62" s="2" customFormat="1" ht="15" customHeight="1" x14ac:dyDescent="0.2">
      <c r="A367" s="396" t="s">
        <v>343</v>
      </c>
      <c r="B367" s="457" t="s">
        <v>1789</v>
      </c>
      <c r="C367" s="457"/>
      <c r="D367" s="457"/>
      <c r="E367" s="96"/>
      <c r="F367" s="154"/>
      <c r="G367" s="412"/>
      <c r="H367" s="253"/>
      <c r="I367" s="34"/>
      <c r="J367" s="253"/>
      <c r="K367" s="308"/>
      <c r="L367" s="253"/>
      <c r="M367" s="253"/>
      <c r="N367" s="253"/>
      <c r="O367" s="253"/>
      <c r="P367" s="253"/>
      <c r="Q367" s="253"/>
      <c r="R367" s="253"/>
      <c r="S367" s="253"/>
      <c r="Y367" s="89"/>
      <c r="AK367" s="310"/>
      <c r="AL367" s="310"/>
      <c r="AM367" s="310"/>
      <c r="AN367" s="310"/>
      <c r="AO367" s="310"/>
      <c r="BI367" s="89"/>
      <c r="BJ367" s="305"/>
    </row>
    <row r="368" spans="1:62" s="2" customFormat="1" ht="18" customHeight="1" x14ac:dyDescent="0.2">
      <c r="A368" s="250" t="s">
        <v>1791</v>
      </c>
      <c r="B368" s="98" t="s">
        <v>420</v>
      </c>
      <c r="C368" s="122" t="s">
        <v>1666</v>
      </c>
      <c r="D368" s="13">
        <v>1016.95</v>
      </c>
      <c r="E368" s="96"/>
      <c r="F368" s="96">
        <f>D368+E368</f>
        <v>1016.95</v>
      </c>
      <c r="G368" s="412"/>
      <c r="H368" s="253"/>
      <c r="I368" s="34"/>
      <c r="J368" s="253"/>
      <c r="K368" s="308"/>
      <c r="L368" s="253"/>
      <c r="M368" s="253"/>
      <c r="N368" s="253"/>
      <c r="O368" s="253"/>
      <c r="P368" s="253"/>
      <c r="Q368" s="253"/>
      <c r="R368" s="253"/>
      <c r="S368" s="253"/>
      <c r="Y368" s="89"/>
      <c r="BI368" s="89"/>
      <c r="BJ368" s="305"/>
    </row>
    <row r="369" spans="1:62" s="2" customFormat="1" ht="16.5" customHeight="1" x14ac:dyDescent="0.2">
      <c r="A369" s="250" t="s">
        <v>1792</v>
      </c>
      <c r="B369" s="98" t="s">
        <v>422</v>
      </c>
      <c r="C369" s="122" t="s">
        <v>1666</v>
      </c>
      <c r="D369" s="13">
        <v>8787.2999999999993</v>
      </c>
      <c r="E369" s="96"/>
      <c r="F369" s="96">
        <f>D369+E369</f>
        <v>8787.2999999999993</v>
      </c>
      <c r="G369" s="412"/>
      <c r="H369" s="253"/>
      <c r="I369" s="34"/>
      <c r="J369" s="253"/>
      <c r="K369" s="308"/>
      <c r="L369" s="253"/>
      <c r="M369" s="253"/>
      <c r="N369" s="253"/>
      <c r="O369" s="253"/>
      <c r="P369" s="253"/>
      <c r="Q369" s="253"/>
      <c r="R369" s="253"/>
      <c r="S369" s="253"/>
      <c r="Y369" s="89"/>
      <c r="BI369" s="89"/>
      <c r="BJ369" s="305"/>
    </row>
    <row r="370" spans="1:62" s="2" customFormat="1" ht="29.25" customHeight="1" x14ac:dyDescent="0.2">
      <c r="A370" s="250" t="s">
        <v>1793</v>
      </c>
      <c r="B370" s="98" t="s">
        <v>417</v>
      </c>
      <c r="C370" s="122" t="s">
        <v>1666</v>
      </c>
      <c r="D370" s="101">
        <v>845.5</v>
      </c>
      <c r="E370" s="96"/>
      <c r="F370" s="96" t="e">
        <f>#REF!+E370</f>
        <v>#REF!</v>
      </c>
      <c r="G370" s="412"/>
      <c r="H370" s="253"/>
      <c r="I370" s="34"/>
      <c r="J370" s="311" t="s">
        <v>1790</v>
      </c>
      <c r="K370" s="308"/>
      <c r="L370" s="253"/>
      <c r="M370" s="253"/>
      <c r="N370" s="253"/>
      <c r="O370" s="253"/>
      <c r="P370" s="253"/>
      <c r="Q370" s="253"/>
      <c r="R370" s="253"/>
      <c r="S370" s="253"/>
      <c r="Y370" s="89"/>
      <c r="BI370" s="89"/>
      <c r="BJ370" s="305"/>
    </row>
    <row r="371" spans="1:62" s="2" customFormat="1" ht="17.25" customHeight="1" x14ac:dyDescent="0.2">
      <c r="A371" s="396" t="s">
        <v>345</v>
      </c>
      <c r="B371" s="437" t="s">
        <v>428</v>
      </c>
      <c r="C371" s="437"/>
      <c r="D371" s="437"/>
      <c r="E371" s="205"/>
      <c r="F371" s="205"/>
      <c r="G371" s="412"/>
      <c r="H371" s="253"/>
      <c r="I371" s="34"/>
      <c r="J371" s="253"/>
      <c r="K371" s="308"/>
      <c r="L371" s="253"/>
      <c r="M371" s="253"/>
      <c r="N371" s="253"/>
      <c r="O371" s="253"/>
      <c r="P371" s="253"/>
      <c r="Q371" s="253"/>
      <c r="R371" s="253"/>
      <c r="S371" s="253"/>
      <c r="Y371" s="89"/>
      <c r="BI371" s="89"/>
      <c r="BJ371" s="305"/>
    </row>
    <row r="372" spans="1:62" s="2" customFormat="1" ht="32.25" customHeight="1" x14ac:dyDescent="0.2">
      <c r="A372" s="250" t="s">
        <v>1855</v>
      </c>
      <c r="B372" s="381" t="s">
        <v>430</v>
      </c>
      <c r="C372" s="122" t="s">
        <v>1666</v>
      </c>
      <c r="D372" s="389">
        <v>2238.36</v>
      </c>
      <c r="E372" s="96"/>
      <c r="F372" s="154">
        <f>D372+E372</f>
        <v>2238.36</v>
      </c>
      <c r="G372" s="412"/>
      <c r="H372" s="253"/>
      <c r="I372" s="34"/>
      <c r="J372" s="253"/>
      <c r="K372" s="308"/>
      <c r="L372" s="253"/>
      <c r="M372" s="253"/>
      <c r="N372" s="253"/>
      <c r="O372" s="253"/>
      <c r="P372" s="253"/>
      <c r="Q372" s="253"/>
      <c r="R372" s="253"/>
      <c r="S372" s="253"/>
      <c r="Y372" s="89"/>
      <c r="BI372" s="89"/>
      <c r="BJ372" s="305"/>
    </row>
    <row r="373" spans="1:62" s="2" customFormat="1" ht="30.75" customHeight="1" x14ac:dyDescent="0.2">
      <c r="A373" s="250" t="s">
        <v>1971</v>
      </c>
      <c r="B373" s="381" t="s">
        <v>432</v>
      </c>
      <c r="C373" s="122" t="s">
        <v>1666</v>
      </c>
      <c r="D373" s="13">
        <v>2107.69</v>
      </c>
      <c r="E373" s="96"/>
      <c r="F373" s="154">
        <f>D373+E373</f>
        <v>2107.69</v>
      </c>
      <c r="G373" s="207"/>
      <c r="H373" s="253"/>
      <c r="I373" s="34"/>
      <c r="J373" s="253"/>
      <c r="K373" s="308"/>
      <c r="L373" s="253"/>
      <c r="M373" s="253"/>
      <c r="N373" s="253"/>
      <c r="O373" s="253"/>
      <c r="P373" s="253"/>
      <c r="Q373" s="253"/>
      <c r="R373" s="253"/>
      <c r="S373" s="253"/>
      <c r="Y373" s="89"/>
      <c r="BI373" s="89"/>
      <c r="BJ373" s="305"/>
    </row>
    <row r="374" spans="1:62" s="2" customFormat="1" ht="20.25" hidden="1" customHeight="1" x14ac:dyDescent="0.2">
      <c r="A374" s="250" t="s">
        <v>1972</v>
      </c>
      <c r="B374" s="381" t="s">
        <v>434</v>
      </c>
      <c r="C374" s="122" t="s">
        <v>1666</v>
      </c>
      <c r="D374" s="13">
        <v>2224.5700000000002</v>
      </c>
      <c r="E374" s="96"/>
      <c r="F374" s="154">
        <f>D374+E374</f>
        <v>2224.5700000000002</v>
      </c>
      <c r="G374" s="412"/>
      <c r="H374" s="253"/>
      <c r="I374" s="34"/>
      <c r="J374" s="253"/>
      <c r="K374" s="308"/>
      <c r="L374" s="253"/>
      <c r="M374" s="253"/>
      <c r="N374" s="253"/>
      <c r="O374" s="253"/>
      <c r="P374" s="253"/>
      <c r="Q374" s="253"/>
      <c r="R374" s="253"/>
      <c r="S374" s="253"/>
      <c r="Y374" s="89"/>
      <c r="BI374" s="89"/>
      <c r="BJ374" s="305"/>
    </row>
    <row r="375" spans="1:62" s="2" customFormat="1" ht="29.25" hidden="1" customHeight="1" x14ac:dyDescent="0.2">
      <c r="A375" s="250" t="s">
        <v>1973</v>
      </c>
      <c r="B375" s="105" t="s">
        <v>452</v>
      </c>
      <c r="C375" s="122" t="s">
        <v>1666</v>
      </c>
      <c r="D375" s="13">
        <v>1871.91</v>
      </c>
      <c r="E375" s="96"/>
      <c r="F375" s="154">
        <f>D375+E375</f>
        <v>1871.91</v>
      </c>
      <c r="G375" s="412"/>
      <c r="H375" s="253"/>
      <c r="I375" s="34"/>
      <c r="J375" s="253"/>
      <c r="K375" s="308"/>
      <c r="L375" s="253"/>
      <c r="M375" s="253"/>
      <c r="N375" s="253"/>
      <c r="O375" s="253"/>
      <c r="P375" s="253"/>
      <c r="Q375" s="253"/>
      <c r="R375" s="253"/>
      <c r="S375" s="253"/>
      <c r="Y375" s="89"/>
      <c r="BI375" s="89"/>
      <c r="BJ375" s="305"/>
    </row>
    <row r="376" spans="1:62" s="2" customFormat="1" ht="48" hidden="1" customHeight="1" x14ac:dyDescent="0.2">
      <c r="A376" s="250" t="s">
        <v>1974</v>
      </c>
      <c r="B376" s="104" t="s">
        <v>456</v>
      </c>
      <c r="C376" s="122" t="s">
        <v>1666</v>
      </c>
      <c r="D376" s="13">
        <v>2015.48</v>
      </c>
      <c r="E376" s="96"/>
      <c r="F376" s="154">
        <f>D376+E376</f>
        <v>2015.48</v>
      </c>
      <c r="G376" s="412"/>
      <c r="H376" s="253"/>
      <c r="I376" s="34"/>
      <c r="J376" s="253"/>
      <c r="K376" s="308"/>
      <c r="L376" s="253"/>
      <c r="M376" s="253"/>
      <c r="N376" s="253"/>
      <c r="O376" s="253"/>
      <c r="P376" s="253"/>
      <c r="Q376" s="253"/>
      <c r="R376" s="253"/>
      <c r="S376" s="253"/>
      <c r="Y376" s="89"/>
      <c r="BI376" s="89"/>
      <c r="BJ376" s="305"/>
    </row>
    <row r="377" spans="1:62" s="2" customFormat="1" ht="48" customHeight="1" x14ac:dyDescent="0.2">
      <c r="A377" s="250" t="s">
        <v>1972</v>
      </c>
      <c r="B377" s="104" t="s">
        <v>458</v>
      </c>
      <c r="C377" s="122" t="s">
        <v>1666</v>
      </c>
      <c r="D377" s="13">
        <v>2130.4</v>
      </c>
      <c r="E377" s="96"/>
      <c r="F377" s="154"/>
      <c r="G377" s="412"/>
      <c r="H377" s="253"/>
      <c r="I377" s="34"/>
      <c r="J377" s="253" t="s">
        <v>1794</v>
      </c>
      <c r="K377" s="308"/>
      <c r="L377" s="253"/>
      <c r="M377" s="253"/>
      <c r="N377" s="253"/>
      <c r="O377" s="253"/>
      <c r="P377" s="253"/>
      <c r="Q377" s="253"/>
      <c r="R377" s="253"/>
      <c r="S377" s="253"/>
      <c r="Y377" s="89"/>
      <c r="BI377" s="89"/>
      <c r="BJ377" s="305"/>
    </row>
    <row r="378" spans="1:62" s="2" customFormat="1" ht="48" customHeight="1" x14ac:dyDescent="0.2">
      <c r="A378" s="250" t="s">
        <v>1973</v>
      </c>
      <c r="B378" s="104" t="s">
        <v>460</v>
      </c>
      <c r="C378" s="122" t="s">
        <v>1666</v>
      </c>
      <c r="D378" s="13">
        <v>2140.1799999999998</v>
      </c>
      <c r="E378" s="96"/>
      <c r="F378" s="154"/>
      <c r="G378" s="412"/>
      <c r="H378" s="253"/>
      <c r="I378" s="34"/>
      <c r="J378" s="253"/>
      <c r="K378" s="308"/>
      <c r="L378" s="253"/>
      <c r="M378" s="253"/>
      <c r="N378" s="253"/>
      <c r="O378" s="253"/>
      <c r="P378" s="253"/>
      <c r="Q378" s="253"/>
      <c r="R378" s="253"/>
      <c r="S378" s="253"/>
      <c r="Y378" s="89"/>
      <c r="BI378" s="89"/>
      <c r="BJ378" s="305"/>
    </row>
    <row r="379" spans="1:62" s="2" customFormat="1" ht="35.25" customHeight="1" x14ac:dyDescent="0.2">
      <c r="A379" s="250" t="s">
        <v>1974</v>
      </c>
      <c r="B379" s="104" t="s">
        <v>452</v>
      </c>
      <c r="C379" s="122" t="s">
        <v>1666</v>
      </c>
      <c r="D379" s="13">
        <v>2196.91</v>
      </c>
      <c r="E379" s="96"/>
      <c r="F379" s="154"/>
      <c r="G379" s="412"/>
      <c r="H379" s="253"/>
      <c r="I379" s="34"/>
      <c r="J379" s="253"/>
      <c r="K379" s="308"/>
      <c r="L379" s="253"/>
      <c r="M379" s="253"/>
      <c r="N379" s="253"/>
      <c r="O379" s="253"/>
      <c r="P379" s="253"/>
      <c r="Q379" s="253"/>
      <c r="R379" s="253"/>
      <c r="S379" s="253"/>
      <c r="Y379" s="89"/>
      <c r="BI379" s="89"/>
      <c r="BJ379" s="305"/>
    </row>
    <row r="380" spans="1:62" s="2" customFormat="1" ht="34.5" customHeight="1" x14ac:dyDescent="0.2">
      <c r="A380" s="250" t="s">
        <v>1976</v>
      </c>
      <c r="B380" s="104" t="s">
        <v>2006</v>
      </c>
      <c r="C380" s="122" t="s">
        <v>1666</v>
      </c>
      <c r="D380" s="13">
        <v>2196.91</v>
      </c>
      <c r="E380" s="96"/>
      <c r="F380" s="154"/>
      <c r="G380" s="412"/>
      <c r="H380" s="253"/>
      <c r="I380" s="34"/>
      <c r="J380" s="253"/>
      <c r="K380" s="308"/>
      <c r="L380" s="253"/>
      <c r="M380" s="253"/>
      <c r="N380" s="253"/>
      <c r="O380" s="253"/>
      <c r="P380" s="253"/>
      <c r="Q380" s="253"/>
      <c r="R380" s="253"/>
      <c r="S380" s="253"/>
      <c r="Y380" s="89"/>
      <c r="BI380" s="89"/>
      <c r="BJ380" s="305"/>
    </row>
    <row r="381" spans="1:62" s="2" customFormat="1" ht="34.5" customHeight="1" x14ac:dyDescent="0.2">
      <c r="A381" s="250" t="s">
        <v>2010</v>
      </c>
      <c r="B381" s="104" t="s">
        <v>2007</v>
      </c>
      <c r="C381" s="122" t="s">
        <v>1666</v>
      </c>
      <c r="D381" s="13">
        <v>2196.91</v>
      </c>
      <c r="E381" s="96"/>
      <c r="F381" s="154"/>
      <c r="G381" s="412"/>
      <c r="H381" s="253"/>
      <c r="I381" s="34"/>
      <c r="J381" s="253"/>
      <c r="K381" s="308"/>
      <c r="L381" s="253"/>
      <c r="M381" s="253"/>
      <c r="N381" s="253"/>
      <c r="O381" s="253"/>
      <c r="P381" s="253"/>
      <c r="Q381" s="253"/>
      <c r="R381" s="253"/>
      <c r="S381" s="253"/>
      <c r="Y381" s="89"/>
      <c r="BI381" s="89"/>
      <c r="BJ381" s="305"/>
    </row>
    <row r="382" spans="1:62" s="2" customFormat="1" ht="34.5" customHeight="1" x14ac:dyDescent="0.2">
      <c r="A382" s="250" t="s">
        <v>2011</v>
      </c>
      <c r="B382" s="104" t="s">
        <v>2008</v>
      </c>
      <c r="C382" s="122" t="s">
        <v>1666</v>
      </c>
      <c r="D382" s="13">
        <v>2196.91</v>
      </c>
      <c r="E382" s="96"/>
      <c r="F382" s="154"/>
      <c r="G382" s="412"/>
      <c r="H382" s="253"/>
      <c r="I382" s="34"/>
      <c r="J382" s="253"/>
      <c r="K382" s="308"/>
      <c r="L382" s="253"/>
      <c r="M382" s="253"/>
      <c r="N382" s="253"/>
      <c r="O382" s="253"/>
      <c r="P382" s="253"/>
      <c r="Q382" s="253"/>
      <c r="R382" s="253"/>
      <c r="S382" s="253"/>
      <c r="Y382" s="89"/>
      <c r="BI382" s="89"/>
      <c r="BJ382" s="305"/>
    </row>
    <row r="383" spans="1:62" s="2" customFormat="1" ht="34.5" customHeight="1" x14ac:dyDescent="0.2">
      <c r="A383" s="250" t="s">
        <v>2012</v>
      </c>
      <c r="B383" s="104" t="s">
        <v>2009</v>
      </c>
      <c r="C383" s="122" t="s">
        <v>1666</v>
      </c>
      <c r="D383" s="13">
        <v>2196.91</v>
      </c>
      <c r="E383" s="96"/>
      <c r="F383" s="154"/>
      <c r="G383" s="412"/>
      <c r="H383" s="253"/>
      <c r="I383" s="34"/>
      <c r="J383" s="253"/>
      <c r="K383" s="308"/>
      <c r="L383" s="253"/>
      <c r="M383" s="253"/>
      <c r="N383" s="253"/>
      <c r="O383" s="253"/>
      <c r="P383" s="253"/>
      <c r="Q383" s="253"/>
      <c r="R383" s="253"/>
      <c r="S383" s="253"/>
      <c r="Y383" s="89"/>
      <c r="BI383" s="89"/>
      <c r="BJ383" s="305"/>
    </row>
    <row r="384" spans="1:62" s="2" customFormat="1" ht="30" customHeight="1" x14ac:dyDescent="0.2">
      <c r="A384" s="250" t="s">
        <v>2013</v>
      </c>
      <c r="B384" s="104" t="s">
        <v>2017</v>
      </c>
      <c r="C384" s="122" t="s">
        <v>1666</v>
      </c>
      <c r="D384" s="13">
        <v>2196.91</v>
      </c>
      <c r="E384" s="96"/>
      <c r="F384" s="154"/>
      <c r="G384" s="412"/>
      <c r="H384" s="253"/>
      <c r="I384" s="34"/>
      <c r="J384" s="253"/>
      <c r="K384" s="308"/>
      <c r="L384" s="253"/>
      <c r="M384" s="253"/>
      <c r="N384" s="253"/>
      <c r="O384" s="253"/>
      <c r="P384" s="253"/>
      <c r="Q384" s="253"/>
      <c r="R384" s="253"/>
      <c r="S384" s="253"/>
      <c r="Y384" s="89"/>
      <c r="BI384" s="89"/>
      <c r="BJ384" s="305"/>
    </row>
    <row r="385" spans="1:62" s="2" customFormat="1" ht="30" customHeight="1" x14ac:dyDescent="0.2">
      <c r="A385" s="250" t="s">
        <v>2014</v>
      </c>
      <c r="B385" s="104" t="s">
        <v>2018</v>
      </c>
      <c r="C385" s="122" t="s">
        <v>1666</v>
      </c>
      <c r="D385" s="13">
        <v>2196.91</v>
      </c>
      <c r="E385" s="96"/>
      <c r="F385" s="154"/>
      <c r="G385" s="412"/>
      <c r="H385" s="253"/>
      <c r="I385" s="34"/>
      <c r="J385" s="253"/>
      <c r="K385" s="308"/>
      <c r="L385" s="253"/>
      <c r="M385" s="253"/>
      <c r="N385" s="253"/>
      <c r="O385" s="253"/>
      <c r="P385" s="253"/>
      <c r="Q385" s="253"/>
      <c r="R385" s="253"/>
      <c r="S385" s="253"/>
      <c r="Y385" s="89"/>
      <c r="BI385" s="89"/>
      <c r="BJ385" s="305"/>
    </row>
    <row r="386" spans="1:62" s="2" customFormat="1" ht="30" customHeight="1" x14ac:dyDescent="0.2">
      <c r="A386" s="250" t="s">
        <v>2015</v>
      </c>
      <c r="B386" s="104" t="s">
        <v>2019</v>
      </c>
      <c r="C386" s="122" t="s">
        <v>1666</v>
      </c>
      <c r="D386" s="13">
        <v>2196.91</v>
      </c>
      <c r="E386" s="96"/>
      <c r="F386" s="154"/>
      <c r="G386" s="412"/>
      <c r="H386" s="253"/>
      <c r="I386" s="34"/>
      <c r="J386" s="253"/>
      <c r="K386" s="308"/>
      <c r="L386" s="253"/>
      <c r="M386" s="253"/>
      <c r="N386" s="253"/>
      <c r="O386" s="253"/>
      <c r="P386" s="253"/>
      <c r="Q386" s="253"/>
      <c r="R386" s="253"/>
      <c r="S386" s="253"/>
      <c r="Y386" s="89"/>
      <c r="BI386" s="89"/>
      <c r="BJ386" s="305"/>
    </row>
    <row r="387" spans="1:62" s="2" customFormat="1" ht="30" customHeight="1" x14ac:dyDescent="0.2">
      <c r="A387" s="250" t="s">
        <v>2016</v>
      </c>
      <c r="B387" s="104" t="s">
        <v>2020</v>
      </c>
      <c r="C387" s="122" t="s">
        <v>1666</v>
      </c>
      <c r="D387" s="13">
        <v>2196.91</v>
      </c>
      <c r="E387" s="96"/>
      <c r="F387" s="154"/>
      <c r="G387" s="412"/>
      <c r="H387" s="253"/>
      <c r="I387" s="34"/>
      <c r="J387" s="253"/>
      <c r="K387" s="308"/>
      <c r="L387" s="253"/>
      <c r="M387" s="253"/>
      <c r="N387" s="253"/>
      <c r="O387" s="253"/>
      <c r="P387" s="253"/>
      <c r="Q387" s="253"/>
      <c r="R387" s="253"/>
      <c r="S387" s="253"/>
      <c r="Y387" s="89"/>
      <c r="BI387" s="89"/>
      <c r="BJ387" s="305"/>
    </row>
    <row r="388" spans="1:62" s="2" customFormat="1" ht="30" customHeight="1" x14ac:dyDescent="0.2">
      <c r="A388" s="250" t="s">
        <v>2259</v>
      </c>
      <c r="B388" s="104" t="s">
        <v>2258</v>
      </c>
      <c r="C388" s="384" t="s">
        <v>228</v>
      </c>
      <c r="D388" s="13">
        <f>2196.91</f>
        <v>2196.91</v>
      </c>
      <c r="E388" s="96"/>
      <c r="F388" s="154"/>
      <c r="G388" s="412"/>
      <c r="H388" s="253"/>
      <c r="I388" s="34"/>
      <c r="J388" s="253"/>
      <c r="K388" s="308"/>
      <c r="L388" s="253"/>
      <c r="M388" s="253"/>
      <c r="N388" s="253"/>
      <c r="O388" s="253"/>
      <c r="P388" s="253"/>
      <c r="Q388" s="253"/>
      <c r="R388" s="253"/>
      <c r="S388" s="253"/>
      <c r="Y388" s="89"/>
      <c r="BI388" s="89"/>
      <c r="BJ388" s="305"/>
    </row>
    <row r="389" spans="1:62" s="2" customFormat="1" ht="30" customHeight="1" x14ac:dyDescent="0.2">
      <c r="A389" s="250" t="s">
        <v>2260</v>
      </c>
      <c r="B389" s="104" t="s">
        <v>2257</v>
      </c>
      <c r="C389" s="384" t="s">
        <v>228</v>
      </c>
      <c r="D389" s="13">
        <f>2196.91</f>
        <v>2196.91</v>
      </c>
      <c r="E389" s="96"/>
      <c r="F389" s="154"/>
      <c r="G389" s="412"/>
      <c r="H389" s="253"/>
      <c r="I389" s="34"/>
      <c r="J389" s="253"/>
      <c r="K389" s="308"/>
      <c r="L389" s="253"/>
      <c r="M389" s="253"/>
      <c r="N389" s="253"/>
      <c r="O389" s="253"/>
      <c r="P389" s="253"/>
      <c r="Q389" s="253"/>
      <c r="R389" s="253"/>
      <c r="S389" s="253"/>
      <c r="Y389" s="89"/>
      <c r="BI389" s="89"/>
      <c r="BJ389" s="305"/>
    </row>
    <row r="390" spans="1:62" s="2" customFormat="1" ht="36.75" customHeight="1" x14ac:dyDescent="0.2">
      <c r="A390" s="250" t="s">
        <v>1975</v>
      </c>
      <c r="B390" s="381" t="s">
        <v>1795</v>
      </c>
      <c r="C390" s="122" t="s">
        <v>1666</v>
      </c>
      <c r="D390" s="13">
        <v>2313.5500000000002</v>
      </c>
      <c r="E390" s="96"/>
      <c r="F390" s="154"/>
      <c r="G390" s="412"/>
      <c r="H390" s="253"/>
      <c r="I390" s="34"/>
      <c r="J390" s="253"/>
      <c r="K390" s="308"/>
      <c r="L390" s="253"/>
      <c r="M390" s="253"/>
      <c r="N390" s="253"/>
      <c r="O390" s="253"/>
      <c r="P390" s="253"/>
      <c r="Q390" s="253"/>
      <c r="R390" s="253"/>
      <c r="S390" s="253"/>
      <c r="Y390" s="89"/>
      <c r="BI390" s="89"/>
      <c r="BJ390" s="305"/>
    </row>
    <row r="391" spans="1:62" s="2" customFormat="1" ht="38.25" customHeight="1" x14ac:dyDescent="0.2">
      <c r="A391" s="250" t="s">
        <v>1977</v>
      </c>
      <c r="B391" s="104" t="s">
        <v>436</v>
      </c>
      <c r="C391" s="122" t="s">
        <v>1666</v>
      </c>
      <c r="D391" s="13">
        <v>2313.5500000000002</v>
      </c>
      <c r="E391" s="96"/>
      <c r="F391" s="154"/>
      <c r="G391" s="412"/>
      <c r="H391" s="253"/>
      <c r="I391" s="34"/>
      <c r="J391" s="253"/>
      <c r="K391" s="308"/>
      <c r="L391" s="253"/>
      <c r="M391" s="253"/>
      <c r="N391" s="253"/>
      <c r="O391" s="253"/>
      <c r="P391" s="253"/>
      <c r="Q391" s="253"/>
      <c r="R391" s="253"/>
      <c r="S391" s="253"/>
      <c r="Y391" s="89"/>
      <c r="BI391" s="89"/>
      <c r="BJ391" s="305"/>
    </row>
    <row r="392" spans="1:62" s="2" customFormat="1" ht="36" customHeight="1" x14ac:dyDescent="0.2">
      <c r="A392" s="250" t="s">
        <v>1978</v>
      </c>
      <c r="B392" s="104" t="s">
        <v>438</v>
      </c>
      <c r="C392" s="122" t="s">
        <v>1666</v>
      </c>
      <c r="D392" s="13">
        <v>2250.88</v>
      </c>
      <c r="E392" s="96"/>
      <c r="F392" s="154"/>
      <c r="G392" s="412"/>
      <c r="H392" s="253"/>
      <c r="I392" s="34"/>
      <c r="J392" s="253"/>
      <c r="K392" s="308"/>
      <c r="L392" s="253"/>
      <c r="M392" s="253"/>
      <c r="N392" s="253"/>
      <c r="O392" s="253"/>
      <c r="P392" s="253"/>
      <c r="Q392" s="253"/>
      <c r="R392" s="253"/>
      <c r="S392" s="253"/>
      <c r="Y392" s="89"/>
      <c r="BI392" s="89"/>
      <c r="BJ392" s="305"/>
    </row>
    <row r="393" spans="1:62" s="2" customFormat="1" ht="48" customHeight="1" x14ac:dyDescent="0.2">
      <c r="A393" s="250" t="s">
        <v>1979</v>
      </c>
      <c r="B393" s="104" t="s">
        <v>440</v>
      </c>
      <c r="C393" s="122" t="s">
        <v>1666</v>
      </c>
      <c r="D393" s="13">
        <v>2313.5500000000002</v>
      </c>
      <c r="E393" s="96"/>
      <c r="F393" s="154"/>
      <c r="G393" s="412"/>
      <c r="H393" s="253"/>
      <c r="I393" s="34"/>
      <c r="J393" s="253"/>
      <c r="K393" s="308"/>
      <c r="L393" s="253"/>
      <c r="M393" s="253"/>
      <c r="N393" s="253"/>
      <c r="O393" s="253"/>
      <c r="P393" s="253"/>
      <c r="Q393" s="253"/>
      <c r="R393" s="253"/>
      <c r="S393" s="253"/>
      <c r="Y393" s="89"/>
      <c r="BI393" s="89"/>
      <c r="BJ393" s="305"/>
    </row>
    <row r="394" spans="1:62" s="2" customFormat="1" ht="37.5" customHeight="1" x14ac:dyDescent="0.2">
      <c r="A394" s="250" t="s">
        <v>1980</v>
      </c>
      <c r="B394" s="104" t="s">
        <v>442</v>
      </c>
      <c r="C394" s="122" t="s">
        <v>1666</v>
      </c>
      <c r="D394" s="13">
        <v>2313.5500000000002</v>
      </c>
      <c r="E394" s="96"/>
      <c r="F394" s="154"/>
      <c r="G394" s="412"/>
      <c r="H394" s="253"/>
      <c r="I394" s="34"/>
      <c r="J394" s="253"/>
      <c r="K394" s="308"/>
      <c r="L394" s="253"/>
      <c r="M394" s="253"/>
      <c r="N394" s="253"/>
      <c r="O394" s="253"/>
      <c r="P394" s="253"/>
      <c r="Q394" s="253"/>
      <c r="R394" s="253"/>
      <c r="S394" s="253"/>
      <c r="Y394" s="89"/>
      <c r="BI394" s="89"/>
      <c r="BJ394" s="305"/>
    </row>
    <row r="395" spans="1:62" s="2" customFormat="1" ht="36" customHeight="1" x14ac:dyDescent="0.2">
      <c r="A395" s="250" t="s">
        <v>1981</v>
      </c>
      <c r="B395" s="104" t="s">
        <v>444</v>
      </c>
      <c r="C395" s="122" t="s">
        <v>1666</v>
      </c>
      <c r="D395" s="13">
        <v>2313.5500000000002</v>
      </c>
      <c r="E395" s="96"/>
      <c r="F395" s="154"/>
      <c r="G395" s="412"/>
      <c r="H395" s="253"/>
      <c r="I395" s="34"/>
      <c r="J395" s="253"/>
      <c r="K395" s="308"/>
      <c r="L395" s="253"/>
      <c r="M395" s="253"/>
      <c r="N395" s="253"/>
      <c r="O395" s="253"/>
      <c r="P395" s="253"/>
      <c r="Q395" s="253"/>
      <c r="R395" s="253"/>
      <c r="S395" s="253"/>
      <c r="Y395" s="89"/>
      <c r="BI395" s="89"/>
      <c r="BJ395" s="305"/>
    </row>
    <row r="396" spans="1:62" s="2" customFormat="1" ht="36" customHeight="1" x14ac:dyDescent="0.2">
      <c r="A396" s="250" t="s">
        <v>1982</v>
      </c>
      <c r="B396" s="104" t="s">
        <v>446</v>
      </c>
      <c r="C396" s="122" t="s">
        <v>1666</v>
      </c>
      <c r="D396" s="13">
        <v>2313.5500000000002</v>
      </c>
      <c r="E396" s="96"/>
      <c r="F396" s="154"/>
      <c r="G396" s="412"/>
      <c r="H396" s="253"/>
      <c r="I396" s="34"/>
      <c r="J396" s="253"/>
      <c r="K396" s="308"/>
      <c r="L396" s="253"/>
      <c r="M396" s="253"/>
      <c r="N396" s="253"/>
      <c r="O396" s="253"/>
      <c r="P396" s="253"/>
      <c r="Q396" s="253"/>
      <c r="R396" s="253"/>
      <c r="S396" s="253"/>
      <c r="Y396" s="89"/>
      <c r="BI396" s="89"/>
      <c r="BJ396" s="305"/>
    </row>
    <row r="397" spans="1:62" s="2" customFormat="1" ht="36.75" customHeight="1" x14ac:dyDescent="0.2">
      <c r="A397" s="250" t="s">
        <v>1983</v>
      </c>
      <c r="B397" s="104" t="s">
        <v>448</v>
      </c>
      <c r="C397" s="122" t="s">
        <v>1666</v>
      </c>
      <c r="D397" s="13">
        <v>2313.5500000000002</v>
      </c>
      <c r="E397" s="96"/>
      <c r="F397" s="154"/>
      <c r="G397" s="412"/>
      <c r="H397" s="253"/>
      <c r="I397" s="34"/>
      <c r="J397" s="253"/>
      <c r="K397" s="308"/>
      <c r="L397" s="253"/>
      <c r="M397" s="253"/>
      <c r="N397" s="253"/>
      <c r="O397" s="253"/>
      <c r="P397" s="253"/>
      <c r="Q397" s="253"/>
      <c r="R397" s="253"/>
      <c r="S397" s="253"/>
      <c r="Y397" s="89"/>
      <c r="BI397" s="89"/>
      <c r="BJ397" s="305"/>
    </row>
    <row r="398" spans="1:62" s="2" customFormat="1" ht="38.25" customHeight="1" x14ac:dyDescent="0.2">
      <c r="A398" s="250" t="s">
        <v>1984</v>
      </c>
      <c r="B398" s="104" t="s">
        <v>450</v>
      </c>
      <c r="C398" s="122" t="s">
        <v>1666</v>
      </c>
      <c r="D398" s="13">
        <v>2313.5500000000002</v>
      </c>
      <c r="E398" s="96"/>
      <c r="F398" s="154"/>
      <c r="G398" s="412"/>
      <c r="H398" s="253"/>
      <c r="I398" s="34"/>
      <c r="J398" s="253"/>
      <c r="K398" s="308"/>
      <c r="L398" s="253"/>
      <c r="M398" s="253"/>
      <c r="N398" s="253"/>
      <c r="O398" s="253"/>
      <c r="P398" s="253"/>
      <c r="Q398" s="253"/>
      <c r="R398" s="253"/>
      <c r="S398" s="253"/>
      <c r="Y398" s="89"/>
      <c r="BI398" s="89"/>
      <c r="BJ398" s="305"/>
    </row>
    <row r="399" spans="1:62" s="2" customFormat="1" ht="46.5" hidden="1" customHeight="1" x14ac:dyDescent="0.2">
      <c r="A399" s="250" t="s">
        <v>465</v>
      </c>
      <c r="B399" s="104" t="s">
        <v>463</v>
      </c>
      <c r="C399" s="379" t="s">
        <v>236</v>
      </c>
      <c r="D399" s="13">
        <v>2015.6</v>
      </c>
      <c r="E399" s="96">
        <f>D399*20%</f>
        <v>403.12</v>
      </c>
      <c r="F399" s="154">
        <f>D399+E399</f>
        <v>2418.7199999999998</v>
      </c>
      <c r="G399" s="412"/>
      <c r="H399" s="253"/>
      <c r="I399" s="34"/>
      <c r="J399" s="253"/>
      <c r="K399" s="308"/>
      <c r="L399" s="253"/>
      <c r="M399" s="253"/>
      <c r="N399" s="253"/>
      <c r="O399" s="253"/>
      <c r="P399" s="253"/>
      <c r="Q399" s="253"/>
      <c r="R399" s="253"/>
      <c r="S399" s="253"/>
      <c r="Y399" s="89"/>
      <c r="BI399" s="89"/>
      <c r="BJ399" s="305"/>
    </row>
    <row r="400" spans="1:62" s="2" customFormat="1" ht="21" customHeight="1" x14ac:dyDescent="0.2">
      <c r="A400" s="396"/>
      <c r="B400" s="437" t="s">
        <v>464</v>
      </c>
      <c r="C400" s="437"/>
      <c r="D400" s="437"/>
      <c r="E400" s="205"/>
      <c r="F400" s="205"/>
      <c r="G400" s="412"/>
      <c r="H400" s="253"/>
      <c r="I400" s="34"/>
      <c r="J400" s="253"/>
      <c r="K400" s="308"/>
      <c r="L400" s="253"/>
      <c r="M400" s="253"/>
      <c r="N400" s="253"/>
      <c r="O400" s="253"/>
      <c r="P400" s="253"/>
      <c r="Q400" s="253"/>
      <c r="R400" s="253"/>
      <c r="S400" s="253"/>
      <c r="Y400" s="89"/>
      <c r="BI400" s="89"/>
      <c r="BJ400" s="305"/>
    </row>
    <row r="401" spans="1:62" s="2" customFormat="1" ht="46.5" customHeight="1" x14ac:dyDescent="0.2">
      <c r="A401" s="250" t="s">
        <v>347</v>
      </c>
      <c r="B401" s="98" t="s">
        <v>466</v>
      </c>
      <c r="C401" s="122" t="s">
        <v>1666</v>
      </c>
      <c r="D401" s="13">
        <v>211.21</v>
      </c>
      <c r="E401" s="96"/>
      <c r="F401" s="154">
        <f t="shared" ref="F401:F422" si="16">D401+E401</f>
        <v>211.21</v>
      </c>
      <c r="G401" s="412"/>
      <c r="H401" s="253"/>
      <c r="I401" s="34"/>
      <c r="J401" s="253"/>
      <c r="K401" s="308"/>
      <c r="L401" s="253"/>
      <c r="M401" s="253"/>
      <c r="N401" s="253"/>
      <c r="O401" s="253"/>
      <c r="P401" s="253"/>
      <c r="Q401" s="253"/>
      <c r="R401" s="253"/>
      <c r="S401" s="253"/>
      <c r="Y401" s="89"/>
      <c r="BI401" s="89"/>
      <c r="BJ401" s="305"/>
    </row>
    <row r="402" spans="1:62" s="2" customFormat="1" ht="46.5" customHeight="1" x14ac:dyDescent="0.2">
      <c r="A402" s="250" t="s">
        <v>357</v>
      </c>
      <c r="B402" s="98" t="s">
        <v>468</v>
      </c>
      <c r="C402" s="122" t="s">
        <v>1666</v>
      </c>
      <c r="D402" s="85">
        <v>297.2</v>
      </c>
      <c r="E402" s="96"/>
      <c r="F402" s="154">
        <f t="shared" si="16"/>
        <v>297.2</v>
      </c>
      <c r="G402" s="412"/>
      <c r="H402" s="253"/>
      <c r="I402" s="34"/>
      <c r="J402" s="253"/>
      <c r="K402" s="308"/>
      <c r="L402" s="253"/>
      <c r="M402" s="253"/>
      <c r="N402" s="253"/>
      <c r="O402" s="253"/>
      <c r="P402" s="253"/>
      <c r="Q402" s="253"/>
      <c r="R402" s="253"/>
      <c r="S402" s="253"/>
      <c r="Y402" s="89"/>
      <c r="BI402" s="89"/>
      <c r="BJ402" s="305"/>
    </row>
    <row r="403" spans="1:62" s="2" customFormat="1" ht="23.25" hidden="1" customHeight="1" x14ac:dyDescent="0.2">
      <c r="A403" s="250" t="s">
        <v>347</v>
      </c>
      <c r="B403" s="381" t="s">
        <v>470</v>
      </c>
      <c r="C403" s="122" t="s">
        <v>1666</v>
      </c>
      <c r="D403" s="85">
        <v>274.45999999999998</v>
      </c>
      <c r="E403" s="96"/>
      <c r="F403" s="154">
        <f t="shared" si="16"/>
        <v>274.45999999999998</v>
      </c>
      <c r="G403" s="412"/>
      <c r="H403" s="253"/>
      <c r="I403" s="34"/>
      <c r="J403" s="253"/>
      <c r="K403" s="308"/>
      <c r="L403" s="253"/>
      <c r="M403" s="253"/>
      <c r="N403" s="253"/>
      <c r="O403" s="253"/>
      <c r="P403" s="253"/>
      <c r="Q403" s="253"/>
      <c r="R403" s="253"/>
      <c r="S403" s="253"/>
      <c r="Y403" s="89"/>
      <c r="BI403" s="89"/>
      <c r="BJ403" s="305"/>
    </row>
    <row r="404" spans="1:62" s="2" customFormat="1" ht="33" customHeight="1" x14ac:dyDescent="0.2">
      <c r="A404" s="250" t="s">
        <v>390</v>
      </c>
      <c r="B404" s="98" t="s">
        <v>2284</v>
      </c>
      <c r="C404" s="122" t="s">
        <v>1666</v>
      </c>
      <c r="D404" s="13">
        <v>130.38</v>
      </c>
      <c r="E404" s="96"/>
      <c r="F404" s="154">
        <f t="shared" si="16"/>
        <v>130.38</v>
      </c>
      <c r="G404" s="412"/>
      <c r="H404" s="253"/>
      <c r="I404" s="34"/>
      <c r="J404" s="253"/>
      <c r="K404" s="308"/>
      <c r="L404" s="253"/>
      <c r="M404" s="253"/>
      <c r="N404" s="253"/>
      <c r="O404" s="253"/>
      <c r="P404" s="253"/>
      <c r="Q404" s="253"/>
      <c r="R404" s="253"/>
      <c r="S404" s="253"/>
      <c r="Y404" s="89"/>
      <c r="BI404" s="89"/>
      <c r="BJ404" s="305"/>
    </row>
    <row r="405" spans="1:62" s="2" customFormat="1" ht="32.25" hidden="1" customHeight="1" x14ac:dyDescent="0.2">
      <c r="A405" s="250" t="s">
        <v>390</v>
      </c>
      <c r="B405" s="98" t="s">
        <v>474</v>
      </c>
      <c r="C405" s="122" t="s">
        <v>1666</v>
      </c>
      <c r="D405" s="13">
        <v>135.6</v>
      </c>
      <c r="E405" s="96"/>
      <c r="F405" s="154">
        <f>D405+E405</f>
        <v>135.6</v>
      </c>
      <c r="G405" s="412"/>
      <c r="H405" s="253"/>
      <c r="I405" s="34"/>
      <c r="J405" s="253"/>
      <c r="K405" s="308"/>
      <c r="L405" s="253"/>
      <c r="M405" s="253"/>
      <c r="N405" s="253"/>
      <c r="O405" s="253"/>
      <c r="P405" s="253"/>
      <c r="Q405" s="253"/>
      <c r="R405" s="253"/>
      <c r="S405" s="253"/>
      <c r="Y405" s="89"/>
      <c r="BI405" s="89"/>
      <c r="BJ405" s="305"/>
    </row>
    <row r="406" spans="1:62" s="2" customFormat="1" ht="29.25" hidden="1" customHeight="1" x14ac:dyDescent="0.2">
      <c r="A406" s="250" t="s">
        <v>416</v>
      </c>
      <c r="B406" s="381" t="s">
        <v>476</v>
      </c>
      <c r="C406" s="122" t="s">
        <v>1666</v>
      </c>
      <c r="D406" s="13">
        <v>138.56</v>
      </c>
      <c r="E406" s="96"/>
      <c r="F406" s="154">
        <f t="shared" si="16"/>
        <v>138.56</v>
      </c>
      <c r="G406" s="412"/>
      <c r="H406" s="253"/>
      <c r="I406" s="34"/>
      <c r="J406" s="253"/>
      <c r="K406" s="308"/>
      <c r="L406" s="253"/>
      <c r="M406" s="253"/>
      <c r="N406" s="253"/>
      <c r="O406" s="253"/>
      <c r="P406" s="253"/>
      <c r="Q406" s="253"/>
      <c r="R406" s="253"/>
      <c r="S406" s="253"/>
      <c r="Y406" s="89"/>
      <c r="BI406" s="89"/>
      <c r="BJ406" s="305"/>
    </row>
    <row r="407" spans="1:62" s="2" customFormat="1" ht="31.5" customHeight="1" x14ac:dyDescent="0.2">
      <c r="A407" s="250" t="s">
        <v>416</v>
      </c>
      <c r="B407" s="381" t="s">
        <v>2184</v>
      </c>
      <c r="C407" s="122" t="s">
        <v>1666</v>
      </c>
      <c r="D407" s="13">
        <v>130.38</v>
      </c>
      <c r="E407" s="96"/>
      <c r="F407" s="154">
        <f t="shared" si="16"/>
        <v>130.38</v>
      </c>
      <c r="G407" s="412"/>
      <c r="H407" s="253"/>
      <c r="I407" s="34"/>
      <c r="J407" s="253"/>
      <c r="K407" s="308"/>
      <c r="L407" s="253"/>
      <c r="M407" s="253"/>
      <c r="N407" s="253"/>
      <c r="O407" s="253"/>
      <c r="P407" s="253"/>
      <c r="Q407" s="253"/>
      <c r="R407" s="253"/>
      <c r="S407" s="253"/>
      <c r="Y407" s="89"/>
      <c r="BI407" s="89"/>
      <c r="BJ407" s="305"/>
    </row>
    <row r="408" spans="1:62" s="2" customFormat="1" ht="32.25" hidden="1" customHeight="1" x14ac:dyDescent="0.2">
      <c r="A408" s="250" t="s">
        <v>421</v>
      </c>
      <c r="B408" s="381" t="s">
        <v>480</v>
      </c>
      <c r="C408" s="122" t="s">
        <v>1666</v>
      </c>
      <c r="D408" s="13">
        <v>138.56</v>
      </c>
      <c r="E408" s="96"/>
      <c r="F408" s="154">
        <f t="shared" si="16"/>
        <v>138.56</v>
      </c>
      <c r="G408" s="412"/>
      <c r="H408" s="253"/>
      <c r="I408" s="34"/>
      <c r="J408" s="253"/>
      <c r="K408" s="308"/>
      <c r="L408" s="253"/>
      <c r="M408" s="253"/>
      <c r="N408" s="253"/>
      <c r="O408" s="253"/>
      <c r="P408" s="253"/>
      <c r="Q408" s="253"/>
      <c r="R408" s="253"/>
      <c r="S408" s="253"/>
      <c r="Y408" s="89"/>
      <c r="BI408" s="89"/>
      <c r="BJ408" s="305"/>
    </row>
    <row r="409" spans="1:62" s="2" customFormat="1" ht="24.75" hidden="1" customHeight="1" x14ac:dyDescent="0.2">
      <c r="A409" s="250" t="s">
        <v>423</v>
      </c>
      <c r="B409" s="397" t="s">
        <v>482</v>
      </c>
      <c r="C409" s="122" t="s">
        <v>1666</v>
      </c>
      <c r="D409" s="13">
        <v>185.47</v>
      </c>
      <c r="E409" s="96"/>
      <c r="F409" s="154">
        <f t="shared" si="16"/>
        <v>185.47</v>
      </c>
      <c r="G409" s="412"/>
      <c r="H409" s="253"/>
      <c r="I409" s="34"/>
      <c r="J409" s="253"/>
      <c r="K409" s="308"/>
      <c r="L409" s="253"/>
      <c r="M409" s="253"/>
      <c r="N409" s="253"/>
      <c r="O409" s="253"/>
      <c r="P409" s="253"/>
      <c r="Q409" s="253"/>
      <c r="R409" s="253"/>
      <c r="S409" s="253"/>
      <c r="Y409" s="89"/>
      <c r="BI409" s="89"/>
      <c r="BJ409" s="305"/>
    </row>
    <row r="410" spans="1:62" s="2" customFormat="1" ht="20.25" hidden="1" customHeight="1" x14ac:dyDescent="0.2">
      <c r="A410" s="250" t="s">
        <v>425</v>
      </c>
      <c r="B410" s="397" t="s">
        <v>484</v>
      </c>
      <c r="C410" s="122" t="s">
        <v>1666</v>
      </c>
      <c r="D410" s="13">
        <v>135.16999999999999</v>
      </c>
      <c r="E410" s="96"/>
      <c r="F410" s="154">
        <f t="shared" si="16"/>
        <v>135.16999999999999</v>
      </c>
      <c r="G410" s="412"/>
      <c r="H410" s="253"/>
      <c r="I410" s="34"/>
      <c r="J410" s="253"/>
      <c r="K410" s="308"/>
      <c r="L410" s="253"/>
      <c r="M410" s="253"/>
      <c r="N410" s="253"/>
      <c r="O410" s="253"/>
      <c r="P410" s="253"/>
      <c r="Q410" s="253"/>
      <c r="R410" s="253"/>
      <c r="S410" s="253"/>
      <c r="Y410" s="89"/>
      <c r="BI410" s="89"/>
      <c r="BJ410" s="305"/>
    </row>
    <row r="411" spans="1:62" s="2" customFormat="1" ht="31.5" customHeight="1" x14ac:dyDescent="0.2">
      <c r="A411" s="250" t="s">
        <v>419</v>
      </c>
      <c r="B411" s="392" t="s">
        <v>486</v>
      </c>
      <c r="C411" s="122" t="s">
        <v>1666</v>
      </c>
      <c r="D411" s="13">
        <v>211.78</v>
      </c>
      <c r="E411" s="96"/>
      <c r="F411" s="154">
        <f t="shared" si="16"/>
        <v>211.78</v>
      </c>
      <c r="G411" s="412"/>
      <c r="H411" s="253"/>
      <c r="I411" s="34"/>
      <c r="J411" s="253"/>
      <c r="K411" s="308"/>
      <c r="L411" s="253"/>
      <c r="M411" s="253"/>
      <c r="N411" s="253"/>
      <c r="O411" s="253"/>
      <c r="P411" s="253"/>
      <c r="Q411" s="253"/>
      <c r="R411" s="253"/>
      <c r="S411" s="253"/>
      <c r="Y411" s="89"/>
      <c r="BI411" s="89"/>
      <c r="BJ411" s="305"/>
    </row>
    <row r="412" spans="1:62" s="2" customFormat="1" ht="36" customHeight="1" x14ac:dyDescent="0.2">
      <c r="A412" s="250" t="s">
        <v>421</v>
      </c>
      <c r="B412" s="392" t="s">
        <v>488</v>
      </c>
      <c r="C412" s="122" t="s">
        <v>1666</v>
      </c>
      <c r="D412" s="85">
        <v>403.3</v>
      </c>
      <c r="E412" s="96"/>
      <c r="F412" s="154">
        <f t="shared" si="16"/>
        <v>403.3</v>
      </c>
      <c r="G412" s="412"/>
      <c r="H412" s="253"/>
      <c r="I412" s="34"/>
      <c r="J412" s="253"/>
      <c r="K412" s="308"/>
      <c r="L412" s="253"/>
      <c r="M412" s="253"/>
      <c r="N412" s="253"/>
      <c r="O412" s="253"/>
      <c r="P412" s="253"/>
      <c r="Q412" s="253"/>
      <c r="R412" s="253"/>
      <c r="S412" s="253"/>
      <c r="Y412" s="89"/>
      <c r="BI412" s="89"/>
      <c r="BJ412" s="305"/>
    </row>
    <row r="413" spans="1:62" s="2" customFormat="1" ht="31.5" customHeight="1" x14ac:dyDescent="0.2">
      <c r="A413" s="250" t="s">
        <v>423</v>
      </c>
      <c r="B413" s="381" t="s">
        <v>490</v>
      </c>
      <c r="C413" s="122" t="s">
        <v>1666</v>
      </c>
      <c r="D413" s="13">
        <v>253.1</v>
      </c>
      <c r="E413" s="96"/>
      <c r="F413" s="154">
        <f t="shared" si="16"/>
        <v>253.1</v>
      </c>
      <c r="G413" s="412"/>
      <c r="H413" s="253"/>
      <c r="I413" s="34"/>
      <c r="J413" s="253"/>
      <c r="K413" s="308"/>
      <c r="L413" s="253"/>
      <c r="M413" s="253"/>
      <c r="N413" s="253"/>
      <c r="O413" s="253"/>
      <c r="P413" s="253"/>
      <c r="Q413" s="253"/>
      <c r="R413" s="253"/>
      <c r="S413" s="253"/>
      <c r="Y413" s="89"/>
      <c r="BI413" s="89"/>
      <c r="BJ413" s="305"/>
    </row>
    <row r="414" spans="1:62" s="2" customFormat="1" ht="33" customHeight="1" x14ac:dyDescent="0.2">
      <c r="A414" s="250" t="s">
        <v>425</v>
      </c>
      <c r="B414" s="381" t="s">
        <v>492</v>
      </c>
      <c r="C414" s="122" t="s">
        <v>1666</v>
      </c>
      <c r="D414" s="13">
        <v>437.51</v>
      </c>
      <c r="E414" s="96"/>
      <c r="F414" s="154">
        <f t="shared" si="16"/>
        <v>437.51</v>
      </c>
      <c r="G414" s="412"/>
      <c r="H414" s="253"/>
      <c r="I414" s="34"/>
      <c r="J414" s="253"/>
      <c r="K414" s="308"/>
      <c r="L414" s="253"/>
      <c r="M414" s="253"/>
      <c r="N414" s="253"/>
      <c r="O414" s="253"/>
      <c r="P414" s="253"/>
      <c r="Q414" s="253"/>
      <c r="R414" s="253"/>
      <c r="S414" s="253"/>
      <c r="Y414" s="89"/>
      <c r="BI414" s="89"/>
      <c r="BJ414" s="305"/>
    </row>
    <row r="415" spans="1:62" s="2" customFormat="1" ht="29.25" customHeight="1" x14ac:dyDescent="0.2">
      <c r="A415" s="250" t="s">
        <v>429</v>
      </c>
      <c r="B415" s="98" t="s">
        <v>494</v>
      </c>
      <c r="C415" s="122" t="s">
        <v>1666</v>
      </c>
      <c r="D415" s="13">
        <v>130.38</v>
      </c>
      <c r="E415" s="96"/>
      <c r="F415" s="154">
        <f t="shared" si="16"/>
        <v>130.38</v>
      </c>
      <c r="G415" s="412"/>
      <c r="H415" s="253"/>
      <c r="I415" s="34"/>
      <c r="J415" s="253"/>
      <c r="K415" s="308"/>
      <c r="L415" s="253"/>
      <c r="M415" s="253"/>
      <c r="N415" s="253"/>
      <c r="O415" s="253"/>
      <c r="P415" s="253"/>
      <c r="Q415" s="253"/>
      <c r="R415" s="253"/>
      <c r="S415" s="253"/>
      <c r="Y415" s="89"/>
      <c r="BI415" s="89"/>
      <c r="BJ415" s="305"/>
    </row>
    <row r="416" spans="1:62" s="2" customFormat="1" ht="36.75" customHeight="1" x14ac:dyDescent="0.2">
      <c r="A416" s="250" t="s">
        <v>431</v>
      </c>
      <c r="B416" s="98" t="s">
        <v>496</v>
      </c>
      <c r="C416" s="122" t="s">
        <v>1666</v>
      </c>
      <c r="D416" s="13">
        <v>91.84</v>
      </c>
      <c r="E416" s="96"/>
      <c r="F416" s="154">
        <f t="shared" si="16"/>
        <v>91.84</v>
      </c>
      <c r="G416" s="412"/>
      <c r="H416" s="253"/>
      <c r="I416" s="34"/>
      <c r="J416" s="253"/>
      <c r="K416" s="308"/>
      <c r="L416" s="253"/>
      <c r="M416" s="253"/>
      <c r="N416" s="253"/>
      <c r="O416" s="253"/>
      <c r="P416" s="253"/>
      <c r="Q416" s="253"/>
      <c r="R416" s="253"/>
      <c r="S416" s="253"/>
      <c r="Y416" s="89"/>
      <c r="BI416" s="89"/>
      <c r="BJ416" s="305"/>
    </row>
    <row r="417" spans="1:62" s="2" customFormat="1" ht="46.5" hidden="1" customHeight="1" x14ac:dyDescent="0.2">
      <c r="A417" s="250" t="s">
        <v>459</v>
      </c>
      <c r="B417" s="98" t="s">
        <v>498</v>
      </c>
      <c r="C417" s="122" t="s">
        <v>1666</v>
      </c>
      <c r="D417" s="13">
        <v>194.34</v>
      </c>
      <c r="E417" s="96"/>
      <c r="F417" s="154">
        <f t="shared" si="16"/>
        <v>194.34</v>
      </c>
      <c r="G417" s="412"/>
      <c r="H417" s="253"/>
      <c r="I417" s="34"/>
      <c r="J417" s="253"/>
      <c r="K417" s="308"/>
      <c r="L417" s="253"/>
      <c r="M417" s="253"/>
      <c r="N417" s="253"/>
      <c r="O417" s="253"/>
      <c r="P417" s="253"/>
      <c r="Q417" s="253"/>
      <c r="R417" s="253"/>
      <c r="S417" s="253"/>
      <c r="Y417" s="89"/>
      <c r="BI417" s="89"/>
      <c r="BJ417" s="305"/>
    </row>
    <row r="418" spans="1:62" s="2" customFormat="1" ht="33" hidden="1" customHeight="1" x14ac:dyDescent="0.2">
      <c r="A418" s="250" t="s">
        <v>462</v>
      </c>
      <c r="B418" s="98" t="s">
        <v>500</v>
      </c>
      <c r="C418" s="122" t="s">
        <v>1666</v>
      </c>
      <c r="D418" s="13">
        <v>169.7</v>
      </c>
      <c r="E418" s="96"/>
      <c r="F418" s="154">
        <f t="shared" si="16"/>
        <v>169.7</v>
      </c>
      <c r="G418" s="412"/>
      <c r="H418" s="253"/>
      <c r="I418" s="34"/>
      <c r="J418" s="253"/>
      <c r="K418" s="308"/>
      <c r="L418" s="253"/>
      <c r="M418" s="253"/>
      <c r="N418" s="253"/>
      <c r="O418" s="253"/>
      <c r="P418" s="253"/>
      <c r="Q418" s="253"/>
      <c r="R418" s="253"/>
      <c r="S418" s="253"/>
      <c r="Y418" s="89"/>
      <c r="BI418" s="89"/>
      <c r="BJ418" s="305"/>
    </row>
    <row r="419" spans="1:62" s="2" customFormat="1" ht="33.75" hidden="1" customHeight="1" x14ac:dyDescent="0.2">
      <c r="A419" s="250" t="s">
        <v>465</v>
      </c>
      <c r="B419" s="98" t="s">
        <v>502</v>
      </c>
      <c r="C419" s="122" t="s">
        <v>1666</v>
      </c>
      <c r="D419" s="13">
        <v>138.56</v>
      </c>
      <c r="E419" s="96"/>
      <c r="F419" s="154">
        <f>D419+E419</f>
        <v>138.56</v>
      </c>
      <c r="G419" s="412"/>
      <c r="H419" s="253"/>
      <c r="I419" s="34"/>
      <c r="J419" s="253"/>
      <c r="K419" s="308"/>
      <c r="L419" s="253"/>
      <c r="M419" s="253"/>
      <c r="N419" s="253"/>
      <c r="O419" s="253"/>
      <c r="P419" s="253"/>
      <c r="Q419" s="253"/>
      <c r="R419" s="253"/>
      <c r="S419" s="253"/>
      <c r="Y419" s="89"/>
      <c r="BI419" s="89"/>
      <c r="BJ419" s="305"/>
    </row>
    <row r="420" spans="1:62" s="2" customFormat="1" ht="18.75" hidden="1" customHeight="1" x14ac:dyDescent="0.2">
      <c r="A420" s="250" t="s">
        <v>467</v>
      </c>
      <c r="B420" s="381" t="s">
        <v>504</v>
      </c>
      <c r="C420" s="122" t="s">
        <v>1666</v>
      </c>
      <c r="D420" s="13">
        <v>245.08</v>
      </c>
      <c r="E420" s="96"/>
      <c r="F420" s="154">
        <f t="shared" si="16"/>
        <v>245.08</v>
      </c>
      <c r="G420" s="412"/>
      <c r="H420" s="253"/>
      <c r="I420" s="34"/>
      <c r="J420" s="253"/>
      <c r="K420" s="308"/>
      <c r="L420" s="253"/>
      <c r="M420" s="253"/>
      <c r="N420" s="253"/>
      <c r="O420" s="253"/>
      <c r="P420" s="253"/>
      <c r="Q420" s="253"/>
      <c r="R420" s="253"/>
      <c r="S420" s="253"/>
      <c r="Y420" s="89"/>
      <c r="BI420" s="89"/>
      <c r="BJ420" s="305"/>
    </row>
    <row r="421" spans="1:62" s="2" customFormat="1" ht="20.25" hidden="1" customHeight="1" x14ac:dyDescent="0.2">
      <c r="A421" s="250" t="s">
        <v>469</v>
      </c>
      <c r="B421" s="381" t="s">
        <v>506</v>
      </c>
      <c r="C421" s="122" t="s">
        <v>1666</v>
      </c>
      <c r="D421" s="13">
        <v>245.08</v>
      </c>
      <c r="E421" s="96"/>
      <c r="F421" s="154">
        <f t="shared" si="16"/>
        <v>245.08</v>
      </c>
      <c r="G421" s="412"/>
      <c r="H421" s="253"/>
      <c r="I421" s="34"/>
      <c r="J421" s="253"/>
      <c r="K421" s="308"/>
      <c r="L421" s="253"/>
      <c r="M421" s="253"/>
      <c r="N421" s="253"/>
      <c r="O421" s="253"/>
      <c r="P421" s="253"/>
      <c r="Q421" s="253"/>
      <c r="R421" s="253"/>
      <c r="S421" s="253"/>
      <c r="Y421" s="89"/>
      <c r="BI421" s="89"/>
      <c r="BJ421" s="305"/>
    </row>
    <row r="422" spans="1:62" s="2" customFormat="1" ht="33.75" hidden="1" customHeight="1" x14ac:dyDescent="0.2">
      <c r="A422" s="250" t="s">
        <v>471</v>
      </c>
      <c r="B422" s="381" t="s">
        <v>508</v>
      </c>
      <c r="C422" s="122" t="s">
        <v>1666</v>
      </c>
      <c r="D422" s="13">
        <v>183.98</v>
      </c>
      <c r="E422" s="96"/>
      <c r="F422" s="154">
        <f t="shared" si="16"/>
        <v>183.98</v>
      </c>
      <c r="G422" s="412"/>
      <c r="H422" s="253"/>
      <c r="I422" s="34"/>
      <c r="J422" s="253"/>
      <c r="K422" s="308"/>
      <c r="L422" s="253"/>
      <c r="M422" s="253"/>
      <c r="N422" s="253"/>
      <c r="O422" s="253"/>
      <c r="P422" s="253"/>
      <c r="Q422" s="253"/>
      <c r="R422" s="253"/>
      <c r="S422" s="253"/>
      <c r="Y422" s="89"/>
      <c r="BI422" s="89"/>
      <c r="BJ422" s="305"/>
    </row>
    <row r="423" spans="1:62" s="2" customFormat="1" ht="33" customHeight="1" x14ac:dyDescent="0.2">
      <c r="A423" s="250" t="s">
        <v>433</v>
      </c>
      <c r="B423" s="106" t="s">
        <v>510</v>
      </c>
      <c r="C423" s="122" t="s">
        <v>1666</v>
      </c>
      <c r="D423" s="13">
        <v>244.04</v>
      </c>
      <c r="E423" s="96"/>
      <c r="F423" s="154">
        <f>D423+E423</f>
        <v>244.04</v>
      </c>
      <c r="G423" s="412"/>
      <c r="H423" s="253"/>
      <c r="I423" s="34"/>
      <c r="J423" s="253"/>
      <c r="K423" s="308"/>
      <c r="L423" s="253"/>
      <c r="M423" s="253"/>
      <c r="N423" s="253"/>
      <c r="O423" s="253"/>
      <c r="P423" s="253"/>
      <c r="Q423" s="253"/>
      <c r="R423" s="253"/>
      <c r="S423" s="253"/>
      <c r="Y423" s="89"/>
      <c r="BI423" s="89"/>
      <c r="BJ423" s="305"/>
    </row>
    <row r="424" spans="1:62" s="2" customFormat="1" ht="46.5" customHeight="1" x14ac:dyDescent="0.2">
      <c r="A424" s="250" t="s">
        <v>451</v>
      </c>
      <c r="B424" s="106" t="s">
        <v>512</v>
      </c>
      <c r="C424" s="122" t="s">
        <v>1666</v>
      </c>
      <c r="D424" s="13">
        <v>299.85000000000002</v>
      </c>
      <c r="E424" s="96"/>
      <c r="F424" s="154">
        <f>D424+E424</f>
        <v>299.85000000000002</v>
      </c>
      <c r="G424" s="412"/>
      <c r="H424" s="253"/>
      <c r="I424" s="34"/>
      <c r="J424" s="253"/>
      <c r="K424" s="308"/>
      <c r="L424" s="253"/>
      <c r="M424" s="253"/>
      <c r="N424" s="253"/>
      <c r="O424" s="253"/>
      <c r="P424" s="253"/>
      <c r="Q424" s="253"/>
      <c r="R424" s="253"/>
      <c r="S424" s="253"/>
      <c r="Y424" s="89"/>
      <c r="BI424" s="89"/>
      <c r="BJ424" s="305"/>
    </row>
    <row r="425" spans="1:62" s="2" customFormat="1" ht="32.25" customHeight="1" x14ac:dyDescent="0.2">
      <c r="A425" s="250" t="s">
        <v>455</v>
      </c>
      <c r="B425" s="106" t="s">
        <v>1745</v>
      </c>
      <c r="C425" s="122" t="s">
        <v>1666</v>
      </c>
      <c r="D425" s="249">
        <v>2108.48</v>
      </c>
      <c r="E425" s="96"/>
      <c r="F425" s="154">
        <f>D425+E425</f>
        <v>2108.48</v>
      </c>
      <c r="G425" s="412"/>
      <c r="H425" s="253"/>
      <c r="I425" s="34"/>
      <c r="J425" s="253"/>
      <c r="K425" s="308"/>
      <c r="L425" s="253"/>
      <c r="M425" s="253"/>
      <c r="N425" s="253"/>
      <c r="O425" s="253"/>
      <c r="P425" s="253"/>
      <c r="Q425" s="253"/>
      <c r="R425" s="253"/>
      <c r="S425" s="253"/>
      <c r="Y425" s="89"/>
      <c r="BI425" s="89"/>
      <c r="BJ425" s="305"/>
    </row>
    <row r="426" spans="1:62" s="2" customFormat="1" ht="32.25" customHeight="1" x14ac:dyDescent="0.2">
      <c r="A426" s="250" t="s">
        <v>457</v>
      </c>
      <c r="B426" s="106" t="s">
        <v>1739</v>
      </c>
      <c r="C426" s="384" t="s">
        <v>228</v>
      </c>
      <c r="D426" s="249">
        <v>1968.71</v>
      </c>
      <c r="E426" s="96"/>
      <c r="F426" s="154">
        <f>D426+E426</f>
        <v>1968.71</v>
      </c>
      <c r="G426" s="412"/>
      <c r="H426" s="253"/>
      <c r="I426" s="34"/>
      <c r="J426" s="253"/>
      <c r="K426" s="308"/>
      <c r="L426" s="253"/>
      <c r="M426" s="253"/>
      <c r="N426" s="253"/>
      <c r="O426" s="253"/>
      <c r="P426" s="253"/>
      <c r="Q426" s="253"/>
      <c r="R426" s="253"/>
      <c r="S426" s="253"/>
      <c r="Y426" s="89"/>
      <c r="BI426" s="89"/>
      <c r="BJ426" s="305"/>
    </row>
    <row r="427" spans="1:62" s="2" customFormat="1" ht="32.25" customHeight="1" x14ac:dyDescent="0.2">
      <c r="A427" s="250" t="s">
        <v>459</v>
      </c>
      <c r="B427" s="106" t="s">
        <v>1946</v>
      </c>
      <c r="C427" s="384" t="s">
        <v>228</v>
      </c>
      <c r="D427" s="13">
        <f>6637.3</f>
        <v>6637.3</v>
      </c>
      <c r="E427" s="96"/>
      <c r="F427" s="154"/>
      <c r="G427" s="412"/>
      <c r="H427" s="253"/>
      <c r="I427" s="34"/>
      <c r="J427" s="253"/>
      <c r="K427" s="308"/>
      <c r="L427" s="253"/>
      <c r="M427" s="253"/>
      <c r="N427" s="253"/>
      <c r="O427" s="253"/>
      <c r="P427" s="253"/>
      <c r="Q427" s="253"/>
      <c r="R427" s="253"/>
      <c r="S427" s="253"/>
      <c r="Y427" s="89"/>
      <c r="BI427" s="89"/>
      <c r="BJ427" s="305"/>
    </row>
    <row r="428" spans="1:62" s="2" customFormat="1" ht="32.25" customHeight="1" x14ac:dyDescent="0.2">
      <c r="A428" s="250" t="s">
        <v>462</v>
      </c>
      <c r="B428" s="106" t="s">
        <v>1947</v>
      </c>
      <c r="C428" s="384" t="s">
        <v>228</v>
      </c>
      <c r="D428" s="13">
        <f>6637.3</f>
        <v>6637.3</v>
      </c>
      <c r="E428" s="96"/>
      <c r="F428" s="154"/>
      <c r="G428" s="412"/>
      <c r="H428" s="253"/>
      <c r="I428" s="34"/>
      <c r="J428" s="253"/>
      <c r="K428" s="308"/>
      <c r="L428" s="253"/>
      <c r="M428" s="253"/>
      <c r="N428" s="253"/>
      <c r="O428" s="253"/>
      <c r="P428" s="253"/>
      <c r="Q428" s="253"/>
      <c r="R428" s="253"/>
      <c r="S428" s="253"/>
      <c r="Y428" s="89"/>
      <c r="BI428" s="89"/>
      <c r="BJ428" s="305"/>
    </row>
    <row r="429" spans="1:62" s="2" customFormat="1" ht="32.25" customHeight="1" x14ac:dyDescent="0.2">
      <c r="A429" s="250" t="s">
        <v>465</v>
      </c>
      <c r="B429" s="106" t="s">
        <v>1740</v>
      </c>
      <c r="C429" s="384" t="s">
        <v>228</v>
      </c>
      <c r="D429" s="13">
        <f>3202.5</f>
        <v>3202.5</v>
      </c>
      <c r="E429" s="96"/>
      <c r="F429" s="154"/>
      <c r="G429" s="412"/>
      <c r="H429" s="253"/>
      <c r="I429" s="34"/>
      <c r="J429" s="253"/>
      <c r="K429" s="308"/>
      <c r="L429" s="253"/>
      <c r="M429" s="253"/>
      <c r="N429" s="253"/>
      <c r="O429" s="253"/>
      <c r="P429" s="253"/>
      <c r="Q429" s="253"/>
      <c r="R429" s="253"/>
      <c r="S429" s="253"/>
      <c r="Y429" s="89"/>
      <c r="BI429" s="89"/>
      <c r="BJ429" s="305"/>
    </row>
    <row r="430" spans="1:62" s="2" customFormat="1" ht="67.5" customHeight="1" x14ac:dyDescent="0.2">
      <c r="A430" s="250" t="s">
        <v>467</v>
      </c>
      <c r="B430" s="106" t="s">
        <v>2285</v>
      </c>
      <c r="C430" s="384" t="s">
        <v>228</v>
      </c>
      <c r="D430" s="13">
        <v>23630.33</v>
      </c>
      <c r="E430" s="96"/>
      <c r="F430" s="154"/>
      <c r="G430" s="412"/>
      <c r="H430" s="253"/>
      <c r="I430" s="34"/>
      <c r="J430" s="253"/>
      <c r="K430" s="308"/>
      <c r="L430" s="253"/>
      <c r="M430" s="253"/>
      <c r="N430" s="253"/>
      <c r="O430" s="253"/>
      <c r="P430" s="253"/>
      <c r="Q430" s="253"/>
      <c r="R430" s="253"/>
      <c r="S430" s="253"/>
      <c r="Y430" s="89"/>
      <c r="BI430" s="89"/>
      <c r="BJ430" s="305"/>
    </row>
    <row r="431" spans="1:62" s="2" customFormat="1" ht="32.25" customHeight="1" x14ac:dyDescent="0.2">
      <c r="A431" s="250"/>
      <c r="B431" s="106"/>
      <c r="C431" s="384"/>
      <c r="D431" s="13"/>
      <c r="E431" s="96"/>
      <c r="F431" s="154"/>
      <c r="G431" s="412"/>
      <c r="H431" s="253"/>
      <c r="I431" s="34"/>
      <c r="J431" s="253"/>
      <c r="K431" s="308"/>
      <c r="L431" s="253"/>
      <c r="M431" s="253"/>
      <c r="N431" s="253"/>
      <c r="O431" s="253"/>
      <c r="P431" s="253"/>
      <c r="Q431" s="253"/>
      <c r="R431" s="253"/>
      <c r="S431" s="253"/>
      <c r="Y431" s="89"/>
      <c r="BI431" s="89"/>
      <c r="BJ431" s="305"/>
    </row>
    <row r="432" spans="1:62" s="2" customFormat="1" ht="32.25" customHeight="1" x14ac:dyDescent="0.2">
      <c r="A432" s="396" t="s">
        <v>469</v>
      </c>
      <c r="B432" s="447" t="s">
        <v>1949</v>
      </c>
      <c r="C432" s="447"/>
      <c r="D432" s="447"/>
      <c r="E432" s="96"/>
      <c r="F432" s="154"/>
      <c r="G432" s="412"/>
      <c r="H432" s="253"/>
      <c r="I432" s="34"/>
      <c r="J432" s="253"/>
      <c r="K432" s="308"/>
      <c r="L432" s="253"/>
      <c r="M432" s="253"/>
      <c r="N432" s="253"/>
      <c r="O432" s="253"/>
      <c r="P432" s="253"/>
      <c r="Q432" s="253"/>
      <c r="R432" s="253"/>
      <c r="S432" s="253"/>
      <c r="Y432" s="89"/>
      <c r="BI432" s="89"/>
      <c r="BJ432" s="305"/>
    </row>
    <row r="433" spans="1:62" s="2" customFormat="1" ht="32.25" customHeight="1" x14ac:dyDescent="0.2">
      <c r="A433" s="250" t="s">
        <v>1951</v>
      </c>
      <c r="B433" s="106" t="s">
        <v>1950</v>
      </c>
      <c r="C433" s="384" t="s">
        <v>228</v>
      </c>
      <c r="D433" s="13">
        <f>7433.78</f>
        <v>7433.78</v>
      </c>
      <c r="E433" s="96"/>
      <c r="F433" s="154"/>
      <c r="G433" s="412"/>
      <c r="H433" s="253"/>
      <c r="I433" s="34"/>
      <c r="J433" s="253"/>
      <c r="K433" s="308"/>
      <c r="L433" s="253"/>
      <c r="M433" s="253"/>
      <c r="N433" s="253"/>
      <c r="O433" s="253"/>
      <c r="P433" s="253"/>
      <c r="Q433" s="253"/>
      <c r="R433" s="253"/>
      <c r="S433" s="253"/>
      <c r="Y433" s="89"/>
      <c r="BI433" s="89"/>
      <c r="BJ433" s="305"/>
    </row>
    <row r="434" spans="1:62" s="2" customFormat="1" ht="21.75" customHeight="1" x14ac:dyDescent="0.2">
      <c r="A434" s="108" t="s">
        <v>471</v>
      </c>
      <c r="B434" s="429" t="s">
        <v>1796</v>
      </c>
      <c r="C434" s="429"/>
      <c r="D434" s="429"/>
      <c r="E434" s="205"/>
      <c r="F434" s="205"/>
      <c r="G434" s="412"/>
      <c r="H434" s="253"/>
      <c r="I434" s="34"/>
      <c r="J434" s="253"/>
      <c r="K434" s="308"/>
      <c r="L434" s="253"/>
      <c r="M434" s="253"/>
      <c r="N434" s="253"/>
      <c r="O434" s="253"/>
      <c r="P434" s="253"/>
      <c r="Q434" s="253"/>
      <c r="R434" s="253"/>
      <c r="S434" s="253"/>
      <c r="Y434" s="89"/>
      <c r="BI434" s="89"/>
      <c r="BJ434" s="305"/>
    </row>
    <row r="435" spans="1:62" s="2" customFormat="1" ht="46.5" hidden="1" customHeight="1" x14ac:dyDescent="0.2">
      <c r="A435" s="404" t="s">
        <v>200</v>
      </c>
      <c r="B435" s="397" t="s">
        <v>519</v>
      </c>
      <c r="C435" s="379" t="s">
        <v>236</v>
      </c>
      <c r="D435" s="13">
        <v>76.150000000000006</v>
      </c>
      <c r="E435" s="96">
        <f t="shared" ref="E435:E440" si="17">D435*20%</f>
        <v>15.23</v>
      </c>
      <c r="F435" s="154">
        <f t="shared" ref="F435:F440" si="18">D435+E435</f>
        <v>91.38</v>
      </c>
      <c r="G435" s="412"/>
      <c r="H435" s="253"/>
      <c r="I435" s="34"/>
      <c r="J435" s="253"/>
      <c r="K435" s="308"/>
      <c r="L435" s="253"/>
      <c r="M435" s="253"/>
      <c r="N435" s="253"/>
      <c r="O435" s="253"/>
      <c r="P435" s="253"/>
      <c r="Q435" s="253"/>
      <c r="R435" s="253"/>
      <c r="S435" s="253"/>
      <c r="Y435" s="89"/>
      <c r="BI435" s="89"/>
      <c r="BJ435" s="305"/>
    </row>
    <row r="436" spans="1:62" s="2" customFormat="1" ht="18" hidden="1" customHeight="1" x14ac:dyDescent="0.2">
      <c r="A436" s="404" t="s">
        <v>204</v>
      </c>
      <c r="B436" s="381" t="s">
        <v>520</v>
      </c>
      <c r="C436" s="379" t="s">
        <v>236</v>
      </c>
      <c r="D436" s="13">
        <v>59.28</v>
      </c>
      <c r="E436" s="96">
        <f t="shared" si="17"/>
        <v>11.86</v>
      </c>
      <c r="F436" s="154">
        <f t="shared" si="18"/>
        <v>71.14</v>
      </c>
      <c r="G436" s="412"/>
      <c r="H436" s="253"/>
      <c r="I436" s="34"/>
      <c r="J436" s="253"/>
      <c r="K436" s="308"/>
      <c r="L436" s="253"/>
      <c r="M436" s="253"/>
      <c r="N436" s="253"/>
      <c r="O436" s="253"/>
      <c r="P436" s="253"/>
      <c r="Q436" s="253"/>
      <c r="R436" s="253"/>
      <c r="S436" s="253"/>
      <c r="Y436" s="89"/>
      <c r="BI436" s="89"/>
      <c r="BJ436" s="305"/>
    </row>
    <row r="437" spans="1:62" s="2" customFormat="1" ht="28.5" hidden="1" customHeight="1" x14ac:dyDescent="0.2">
      <c r="A437" s="404" t="s">
        <v>521</v>
      </c>
      <c r="B437" s="381" t="s">
        <v>522</v>
      </c>
      <c r="C437" s="379" t="s">
        <v>236</v>
      </c>
      <c r="D437" s="13">
        <v>61.36</v>
      </c>
      <c r="E437" s="96">
        <f t="shared" si="17"/>
        <v>12.27</v>
      </c>
      <c r="F437" s="154">
        <f t="shared" si="18"/>
        <v>73.63</v>
      </c>
      <c r="G437" s="412"/>
      <c r="H437" s="253"/>
      <c r="I437" s="34"/>
      <c r="J437" s="253"/>
      <c r="K437" s="308"/>
      <c r="L437" s="253"/>
      <c r="M437" s="253"/>
      <c r="N437" s="253"/>
      <c r="O437" s="253"/>
      <c r="P437" s="253"/>
      <c r="Q437" s="253"/>
      <c r="R437" s="253"/>
      <c r="S437" s="253"/>
      <c r="Y437" s="89"/>
      <c r="BI437" s="89"/>
      <c r="BJ437" s="305"/>
    </row>
    <row r="438" spans="1:62" s="2" customFormat="1" ht="24.75" hidden="1" customHeight="1" x14ac:dyDescent="0.2">
      <c r="A438" s="404" t="s">
        <v>523</v>
      </c>
      <c r="B438" s="381" t="s">
        <v>524</v>
      </c>
      <c r="C438" s="379" t="s">
        <v>236</v>
      </c>
      <c r="D438" s="13">
        <v>66.56</v>
      </c>
      <c r="E438" s="96">
        <f t="shared" si="17"/>
        <v>13.31</v>
      </c>
      <c r="F438" s="154">
        <f t="shared" si="18"/>
        <v>79.87</v>
      </c>
      <c r="G438" s="412"/>
      <c r="H438" s="253"/>
      <c r="I438" s="34"/>
      <c r="J438" s="253"/>
      <c r="K438" s="308"/>
      <c r="L438" s="253"/>
      <c r="M438" s="253"/>
      <c r="N438" s="253"/>
      <c r="O438" s="253"/>
      <c r="P438" s="253"/>
      <c r="Q438" s="253"/>
      <c r="R438" s="253"/>
      <c r="S438" s="253"/>
      <c r="Y438" s="89"/>
      <c r="BI438" s="89"/>
      <c r="BJ438" s="305"/>
    </row>
    <row r="439" spans="1:62" s="2" customFormat="1" ht="26.25" hidden="1" customHeight="1" x14ac:dyDescent="0.2">
      <c r="A439" s="404" t="s">
        <v>525</v>
      </c>
      <c r="B439" s="381" t="s">
        <v>526</v>
      </c>
      <c r="C439" s="379" t="s">
        <v>236</v>
      </c>
      <c r="D439" s="13">
        <v>64.48</v>
      </c>
      <c r="E439" s="96">
        <f t="shared" si="17"/>
        <v>12.9</v>
      </c>
      <c r="F439" s="154">
        <f t="shared" si="18"/>
        <v>77.38</v>
      </c>
      <c r="G439" s="412"/>
      <c r="H439" s="253"/>
      <c r="I439" s="34"/>
      <c r="J439" s="253"/>
      <c r="K439" s="308"/>
      <c r="L439" s="253"/>
      <c r="M439" s="253"/>
      <c r="N439" s="253"/>
      <c r="O439" s="253"/>
      <c r="P439" s="253"/>
      <c r="Q439" s="253"/>
      <c r="R439" s="253"/>
      <c r="S439" s="253"/>
      <c r="Y439" s="89"/>
      <c r="BI439" s="89"/>
      <c r="BJ439" s="305"/>
    </row>
    <row r="440" spans="1:62" s="2" customFormat="1" ht="24" hidden="1" customHeight="1" x14ac:dyDescent="0.2">
      <c r="A440" s="404" t="s">
        <v>527</v>
      </c>
      <c r="B440" s="381" t="s">
        <v>528</v>
      </c>
      <c r="C440" s="379" t="s">
        <v>236</v>
      </c>
      <c r="D440" s="13">
        <v>31.65</v>
      </c>
      <c r="E440" s="96">
        <f t="shared" si="17"/>
        <v>6.33</v>
      </c>
      <c r="F440" s="154">
        <f t="shared" si="18"/>
        <v>37.979999999999997</v>
      </c>
      <c r="G440" s="412"/>
      <c r="H440" s="253"/>
      <c r="I440" s="34"/>
      <c r="J440" s="253"/>
      <c r="K440" s="308"/>
      <c r="L440" s="253"/>
      <c r="M440" s="253"/>
      <c r="N440" s="253"/>
      <c r="O440" s="253"/>
      <c r="P440" s="253"/>
      <c r="Q440" s="253"/>
      <c r="R440" s="253"/>
      <c r="S440" s="253"/>
      <c r="Y440" s="89"/>
      <c r="BI440" s="89"/>
      <c r="BJ440" s="305"/>
    </row>
    <row r="441" spans="1:62" s="2" customFormat="1" ht="15.75" customHeight="1" x14ac:dyDescent="0.2">
      <c r="A441" s="404"/>
      <c r="B441" s="435" t="s">
        <v>529</v>
      </c>
      <c r="C441" s="435"/>
      <c r="D441" s="435"/>
      <c r="E441" s="208"/>
      <c r="F441" s="208"/>
      <c r="G441" s="412"/>
      <c r="H441" s="253"/>
      <c r="I441" s="34"/>
      <c r="J441" s="253"/>
      <c r="K441" s="308"/>
      <c r="L441" s="253"/>
      <c r="M441" s="253"/>
      <c r="N441" s="253"/>
      <c r="O441" s="253"/>
      <c r="P441" s="253"/>
      <c r="Q441" s="253"/>
      <c r="R441" s="253"/>
      <c r="S441" s="253"/>
      <c r="Y441" s="89"/>
      <c r="BI441" s="89"/>
      <c r="BJ441" s="305"/>
    </row>
    <row r="442" spans="1:62" s="2" customFormat="1" ht="19.5" customHeight="1" x14ac:dyDescent="0.2">
      <c r="A442" s="404" t="s">
        <v>1952</v>
      </c>
      <c r="B442" s="381" t="s">
        <v>531</v>
      </c>
      <c r="C442" s="122" t="s">
        <v>1666</v>
      </c>
      <c r="D442" s="13">
        <v>194.48</v>
      </c>
      <c r="E442" s="96"/>
      <c r="F442" s="154">
        <f t="shared" ref="F442:F457" si="19">D442+E442</f>
        <v>194.48</v>
      </c>
      <c r="G442" s="412"/>
      <c r="H442" s="253"/>
      <c r="I442" s="34"/>
      <c r="J442" s="253" t="s">
        <v>1794</v>
      </c>
      <c r="K442" s="308"/>
      <c r="L442" s="253"/>
      <c r="M442" s="253"/>
      <c r="N442" s="253"/>
      <c r="O442" s="253"/>
      <c r="P442" s="253"/>
      <c r="Q442" s="253"/>
      <c r="R442" s="253"/>
      <c r="S442" s="253"/>
      <c r="Y442" s="89"/>
      <c r="BI442" s="89"/>
      <c r="BJ442" s="305"/>
    </row>
    <row r="443" spans="1:62" s="2" customFormat="1" ht="22.5" customHeight="1" x14ac:dyDescent="0.2">
      <c r="A443" s="404" t="s">
        <v>2065</v>
      </c>
      <c r="B443" s="381" t="s">
        <v>533</v>
      </c>
      <c r="C443" s="122" t="s">
        <v>1666</v>
      </c>
      <c r="D443" s="13">
        <v>105.26</v>
      </c>
      <c r="E443" s="96"/>
      <c r="F443" s="154">
        <f t="shared" si="19"/>
        <v>105.26</v>
      </c>
      <c r="G443" s="412"/>
      <c r="H443" s="253"/>
      <c r="I443" s="34"/>
      <c r="J443" s="253" t="s">
        <v>1794</v>
      </c>
      <c r="K443" s="308"/>
      <c r="L443" s="253"/>
      <c r="M443" s="253"/>
      <c r="N443" s="253"/>
      <c r="O443" s="253"/>
      <c r="P443" s="253"/>
      <c r="Q443" s="253"/>
      <c r="R443" s="253"/>
      <c r="S443" s="253"/>
      <c r="Y443" s="89"/>
      <c r="BI443" s="89"/>
      <c r="BJ443" s="305"/>
    </row>
    <row r="444" spans="1:62" s="2" customFormat="1" ht="20.25" hidden="1" customHeight="1" x14ac:dyDescent="0.2">
      <c r="A444" s="404" t="s">
        <v>2066</v>
      </c>
      <c r="B444" s="381" t="s">
        <v>535</v>
      </c>
      <c r="C444" s="122" t="s">
        <v>1666</v>
      </c>
      <c r="D444" s="13">
        <v>57.46</v>
      </c>
      <c r="E444" s="96">
        <f t="shared" ref="E444:E457" si="20">D444*20%</f>
        <v>11.49</v>
      </c>
      <c r="F444" s="154">
        <f t="shared" si="19"/>
        <v>68.95</v>
      </c>
      <c r="G444" s="412"/>
      <c r="H444" s="253"/>
      <c r="I444" s="34"/>
      <c r="J444" s="253"/>
      <c r="K444" s="308"/>
      <c r="L444" s="253"/>
      <c r="M444" s="253"/>
      <c r="N444" s="253"/>
      <c r="O444" s="253"/>
      <c r="P444" s="253"/>
      <c r="Q444" s="253"/>
      <c r="R444" s="253"/>
      <c r="S444" s="253"/>
      <c r="Y444" s="89"/>
      <c r="BI444" s="89"/>
      <c r="BJ444" s="305"/>
    </row>
    <row r="445" spans="1:62" s="2" customFormat="1" ht="20.25" hidden="1" customHeight="1" x14ac:dyDescent="0.2">
      <c r="A445" s="404" t="s">
        <v>2326</v>
      </c>
      <c r="B445" s="381" t="s">
        <v>537</v>
      </c>
      <c r="C445" s="122" t="s">
        <v>1666</v>
      </c>
      <c r="D445" s="13">
        <v>232.54</v>
      </c>
      <c r="E445" s="96">
        <f t="shared" si="20"/>
        <v>46.51</v>
      </c>
      <c r="F445" s="154">
        <f t="shared" si="19"/>
        <v>279.05</v>
      </c>
      <c r="G445" s="412"/>
      <c r="H445" s="253"/>
      <c r="I445" s="34"/>
      <c r="J445" s="253"/>
      <c r="K445" s="308"/>
      <c r="L445" s="253"/>
      <c r="M445" s="253"/>
      <c r="N445" s="253"/>
      <c r="O445" s="253"/>
      <c r="P445" s="253"/>
      <c r="Q445" s="253"/>
      <c r="R445" s="253"/>
      <c r="S445" s="253"/>
      <c r="Y445" s="89"/>
      <c r="BI445" s="89"/>
      <c r="BJ445" s="305"/>
    </row>
    <row r="446" spans="1:62" s="2" customFormat="1" ht="27" hidden="1" customHeight="1" x14ac:dyDescent="0.2">
      <c r="A446" s="404" t="s">
        <v>2327</v>
      </c>
      <c r="B446" s="381" t="s">
        <v>539</v>
      </c>
      <c r="C446" s="122" t="s">
        <v>1666</v>
      </c>
      <c r="D446" s="13">
        <v>125.74</v>
      </c>
      <c r="E446" s="96">
        <f t="shared" si="20"/>
        <v>25.15</v>
      </c>
      <c r="F446" s="154">
        <f t="shared" si="19"/>
        <v>150.88999999999999</v>
      </c>
      <c r="G446" s="412"/>
      <c r="H446" s="253"/>
      <c r="I446" s="34"/>
      <c r="J446" s="253"/>
      <c r="K446" s="308"/>
      <c r="L446" s="253"/>
      <c r="M446" s="253"/>
      <c r="N446" s="253"/>
      <c r="O446" s="253"/>
      <c r="P446" s="253"/>
      <c r="Q446" s="253"/>
      <c r="R446" s="253"/>
      <c r="S446" s="253"/>
      <c r="Y446" s="89"/>
      <c r="BI446" s="89"/>
      <c r="BJ446" s="305"/>
    </row>
    <row r="447" spans="1:62" s="2" customFormat="1" ht="21" customHeight="1" x14ac:dyDescent="0.2">
      <c r="A447" s="404" t="s">
        <v>2066</v>
      </c>
      <c r="B447" s="381" t="s">
        <v>541</v>
      </c>
      <c r="C447" s="122" t="s">
        <v>1666</v>
      </c>
      <c r="D447" s="13">
        <v>111.3</v>
      </c>
      <c r="E447" s="96"/>
      <c r="F447" s="154">
        <f t="shared" si="19"/>
        <v>111.3</v>
      </c>
      <c r="G447" s="412"/>
      <c r="H447" s="253"/>
      <c r="I447" s="34"/>
      <c r="J447" s="253"/>
      <c r="K447" s="308"/>
      <c r="L447" s="253"/>
      <c r="M447" s="253"/>
      <c r="N447" s="253"/>
      <c r="O447" s="253"/>
      <c r="P447" s="253"/>
      <c r="Q447" s="253"/>
      <c r="R447" s="253"/>
      <c r="S447" s="253"/>
      <c r="Y447" s="89"/>
      <c r="BI447" s="89"/>
      <c r="BJ447" s="305"/>
    </row>
    <row r="448" spans="1:62" s="2" customFormat="1" ht="23.25" hidden="1" customHeight="1" x14ac:dyDescent="0.2">
      <c r="A448" s="404" t="s">
        <v>544</v>
      </c>
      <c r="B448" s="381" t="s">
        <v>543</v>
      </c>
      <c r="C448" s="379" t="s">
        <v>236</v>
      </c>
      <c r="D448" s="13">
        <v>62.62</v>
      </c>
      <c r="E448" s="96">
        <f t="shared" si="20"/>
        <v>12.52</v>
      </c>
      <c r="F448" s="154">
        <f t="shared" si="19"/>
        <v>75.14</v>
      </c>
      <c r="G448" s="412"/>
      <c r="H448" s="253"/>
      <c r="I448" s="34"/>
      <c r="J448" s="253"/>
      <c r="K448" s="308"/>
      <c r="L448" s="253"/>
      <c r="M448" s="253"/>
      <c r="N448" s="253"/>
      <c r="O448" s="253"/>
      <c r="P448" s="253"/>
      <c r="Q448" s="253"/>
      <c r="R448" s="253"/>
      <c r="S448" s="253"/>
      <c r="Y448" s="89"/>
      <c r="BI448" s="89"/>
      <c r="BJ448" s="305"/>
    </row>
    <row r="449" spans="1:62" s="2" customFormat="1" ht="17.25" hidden="1" customHeight="1" x14ac:dyDescent="0.2">
      <c r="A449" s="404" t="s">
        <v>546</v>
      </c>
      <c r="B449" s="381" t="s">
        <v>545</v>
      </c>
      <c r="C449" s="379" t="s">
        <v>236</v>
      </c>
      <c r="D449" s="13">
        <v>288.93</v>
      </c>
      <c r="E449" s="96">
        <f t="shared" si="20"/>
        <v>57.79</v>
      </c>
      <c r="F449" s="154">
        <f t="shared" si="19"/>
        <v>346.72</v>
      </c>
      <c r="G449" s="412"/>
      <c r="H449" s="253"/>
      <c r="I449" s="34"/>
      <c r="J449" s="253"/>
      <c r="K449" s="308"/>
      <c r="L449" s="253"/>
      <c r="M449" s="253"/>
      <c r="N449" s="253"/>
      <c r="O449" s="253"/>
      <c r="P449" s="253"/>
      <c r="Q449" s="253"/>
      <c r="R449" s="253"/>
      <c r="S449" s="253"/>
      <c r="Y449" s="89"/>
      <c r="BI449" s="89"/>
      <c r="BJ449" s="305"/>
    </row>
    <row r="450" spans="1:62" s="2" customFormat="1" ht="19.5" hidden="1" customHeight="1" x14ac:dyDescent="0.2">
      <c r="A450" s="404" t="s">
        <v>548</v>
      </c>
      <c r="B450" s="381" t="s">
        <v>547</v>
      </c>
      <c r="C450" s="379" t="s">
        <v>236</v>
      </c>
      <c r="D450" s="13">
        <v>89.94</v>
      </c>
      <c r="E450" s="96">
        <f t="shared" si="20"/>
        <v>17.989999999999998</v>
      </c>
      <c r="F450" s="154">
        <f t="shared" si="19"/>
        <v>107.93</v>
      </c>
      <c r="G450" s="412"/>
      <c r="H450" s="253"/>
      <c r="I450" s="34"/>
      <c r="J450" s="253"/>
      <c r="K450" s="308"/>
      <c r="L450" s="253"/>
      <c r="M450" s="253"/>
      <c r="N450" s="253"/>
      <c r="O450" s="253"/>
      <c r="P450" s="253"/>
      <c r="Q450" s="253"/>
      <c r="R450" s="253"/>
      <c r="S450" s="253"/>
      <c r="Y450" s="89"/>
      <c r="BI450" s="89"/>
      <c r="BJ450" s="305"/>
    </row>
    <row r="451" spans="1:62" s="2" customFormat="1" ht="18.75" hidden="1" customHeight="1" x14ac:dyDescent="0.2">
      <c r="A451" s="404" t="s">
        <v>550</v>
      </c>
      <c r="B451" s="381" t="s">
        <v>549</v>
      </c>
      <c r="C451" s="379" t="s">
        <v>236</v>
      </c>
      <c r="D451" s="13">
        <v>50.73</v>
      </c>
      <c r="E451" s="96">
        <f t="shared" si="20"/>
        <v>10.15</v>
      </c>
      <c r="F451" s="154">
        <f t="shared" si="19"/>
        <v>60.88</v>
      </c>
      <c r="G451" s="412"/>
      <c r="H451" s="253"/>
      <c r="I451" s="34"/>
      <c r="J451" s="253"/>
      <c r="K451" s="308"/>
      <c r="L451" s="253"/>
      <c r="M451" s="253"/>
      <c r="N451" s="253"/>
      <c r="O451" s="253"/>
      <c r="P451" s="253"/>
      <c r="Q451" s="253"/>
      <c r="R451" s="253"/>
      <c r="S451" s="253"/>
      <c r="Y451" s="89"/>
      <c r="BI451" s="89"/>
      <c r="BJ451" s="305"/>
    </row>
    <row r="452" spans="1:62" s="2" customFormat="1" ht="30" hidden="1" customHeight="1" x14ac:dyDescent="0.2">
      <c r="A452" s="404" t="s">
        <v>552</v>
      </c>
      <c r="B452" s="381" t="s">
        <v>551</v>
      </c>
      <c r="C452" s="379" t="s">
        <v>236</v>
      </c>
      <c r="D452" s="13">
        <v>35.49</v>
      </c>
      <c r="E452" s="96">
        <f t="shared" si="20"/>
        <v>7.1</v>
      </c>
      <c r="F452" s="154">
        <f t="shared" si="19"/>
        <v>42.59</v>
      </c>
      <c r="G452" s="412"/>
      <c r="H452" s="253"/>
      <c r="I452" s="34"/>
      <c r="J452" s="253"/>
      <c r="K452" s="308"/>
      <c r="L452" s="253"/>
      <c r="M452" s="253"/>
      <c r="N452" s="253"/>
      <c r="O452" s="253"/>
      <c r="P452" s="253"/>
      <c r="Q452" s="253"/>
      <c r="R452" s="253"/>
      <c r="S452" s="253"/>
      <c r="Y452" s="89"/>
      <c r="BI452" s="89"/>
      <c r="BJ452" s="305"/>
    </row>
    <row r="453" spans="1:62" s="2" customFormat="1" ht="18" hidden="1" customHeight="1" x14ac:dyDescent="0.2">
      <c r="A453" s="404" t="s">
        <v>554</v>
      </c>
      <c r="B453" s="381" t="s">
        <v>553</v>
      </c>
      <c r="C453" s="379" t="s">
        <v>236</v>
      </c>
      <c r="D453" s="13">
        <v>32</v>
      </c>
      <c r="E453" s="96">
        <f t="shared" si="20"/>
        <v>6.4</v>
      </c>
      <c r="F453" s="154">
        <f t="shared" si="19"/>
        <v>38.4</v>
      </c>
      <c r="G453" s="412"/>
      <c r="H453" s="253"/>
      <c r="I453" s="34"/>
      <c r="J453" s="253"/>
      <c r="K453" s="308"/>
      <c r="L453" s="253"/>
      <c r="M453" s="253"/>
      <c r="N453" s="253"/>
      <c r="O453" s="253"/>
      <c r="P453" s="253"/>
      <c r="Q453" s="253"/>
      <c r="R453" s="253"/>
      <c r="S453" s="253"/>
      <c r="Y453" s="89"/>
      <c r="BI453" s="89"/>
      <c r="BJ453" s="305"/>
    </row>
    <row r="454" spans="1:62" s="2" customFormat="1" ht="37.5" hidden="1" customHeight="1" x14ac:dyDescent="0.2">
      <c r="A454" s="404" t="s">
        <v>556</v>
      </c>
      <c r="B454" s="381" t="s">
        <v>2183</v>
      </c>
      <c r="C454" s="379" t="s">
        <v>236</v>
      </c>
      <c r="D454" s="13">
        <v>92.54</v>
      </c>
      <c r="E454" s="96">
        <f t="shared" si="20"/>
        <v>18.510000000000002</v>
      </c>
      <c r="F454" s="154">
        <f t="shared" si="19"/>
        <v>111.05</v>
      </c>
      <c r="G454" s="412"/>
      <c r="H454" s="253"/>
      <c r="I454" s="34"/>
      <c r="J454" s="253"/>
      <c r="K454" s="308"/>
      <c r="L454" s="253"/>
      <c r="M454" s="253"/>
      <c r="N454" s="253"/>
      <c r="O454" s="253"/>
      <c r="P454" s="253"/>
      <c r="Q454" s="253"/>
      <c r="R454" s="253"/>
      <c r="S454" s="253"/>
      <c r="Y454" s="89"/>
      <c r="BI454" s="89"/>
      <c r="BJ454" s="305"/>
    </row>
    <row r="455" spans="1:62" s="2" customFormat="1" ht="35.25" hidden="1" customHeight="1" x14ac:dyDescent="0.2">
      <c r="A455" s="404" t="s">
        <v>558</v>
      </c>
      <c r="B455" s="381" t="s">
        <v>557</v>
      </c>
      <c r="C455" s="379" t="s">
        <v>236</v>
      </c>
      <c r="D455" s="13">
        <v>68.069999999999993</v>
      </c>
      <c r="E455" s="96">
        <f t="shared" si="20"/>
        <v>13.61</v>
      </c>
      <c r="F455" s="154">
        <f t="shared" si="19"/>
        <v>81.680000000000007</v>
      </c>
      <c r="G455" s="412"/>
      <c r="H455" s="253"/>
      <c r="I455" s="34"/>
      <c r="J455" s="253"/>
      <c r="K455" s="308"/>
      <c r="L455" s="253"/>
      <c r="M455" s="253"/>
      <c r="N455" s="253"/>
      <c r="O455" s="253"/>
      <c r="P455" s="253"/>
      <c r="Q455" s="253"/>
      <c r="R455" s="253"/>
      <c r="S455" s="253"/>
      <c r="Y455" s="89"/>
      <c r="BI455" s="89"/>
      <c r="BJ455" s="305"/>
    </row>
    <row r="456" spans="1:62" s="2" customFormat="1" ht="32.25" hidden="1" customHeight="1" x14ac:dyDescent="0.2">
      <c r="A456" s="404" t="s">
        <v>560</v>
      </c>
      <c r="B456" s="381" t="s">
        <v>559</v>
      </c>
      <c r="C456" s="379" t="s">
        <v>236</v>
      </c>
      <c r="D456" s="13">
        <v>48.27</v>
      </c>
      <c r="E456" s="96">
        <f t="shared" si="20"/>
        <v>9.65</v>
      </c>
      <c r="F456" s="154">
        <f t="shared" si="19"/>
        <v>57.92</v>
      </c>
      <c r="G456" s="412"/>
      <c r="H456" s="253"/>
      <c r="I456" s="34"/>
      <c r="J456" s="253"/>
      <c r="K456" s="308"/>
      <c r="L456" s="253"/>
      <c r="M456" s="253"/>
      <c r="N456" s="253"/>
      <c r="O456" s="253"/>
      <c r="P456" s="253"/>
      <c r="Q456" s="253"/>
      <c r="R456" s="253"/>
      <c r="S456" s="253"/>
      <c r="Y456" s="89"/>
      <c r="BI456" s="89"/>
      <c r="BJ456" s="305"/>
    </row>
    <row r="457" spans="1:62" s="2" customFormat="1" ht="37.5" hidden="1" customHeight="1" x14ac:dyDescent="0.2">
      <c r="A457" s="404" t="s">
        <v>1797</v>
      </c>
      <c r="B457" s="98" t="s">
        <v>561</v>
      </c>
      <c r="C457" s="379" t="s">
        <v>236</v>
      </c>
      <c r="D457" s="13">
        <v>36.14</v>
      </c>
      <c r="E457" s="96">
        <f t="shared" si="20"/>
        <v>7.23</v>
      </c>
      <c r="F457" s="154">
        <f t="shared" si="19"/>
        <v>43.37</v>
      </c>
      <c r="G457" s="412"/>
      <c r="H457" s="253"/>
      <c r="I457" s="34"/>
      <c r="J457" s="253"/>
      <c r="K457" s="308"/>
      <c r="L457" s="253"/>
      <c r="M457" s="253"/>
      <c r="N457" s="253"/>
      <c r="O457" s="253"/>
      <c r="P457" s="253"/>
      <c r="Q457" s="253"/>
      <c r="R457" s="253"/>
      <c r="S457" s="253"/>
      <c r="Y457" s="89"/>
      <c r="BI457" s="89"/>
      <c r="BJ457" s="305"/>
    </row>
    <row r="458" spans="1:62" s="2" customFormat="1" ht="24" hidden="1" customHeight="1" x14ac:dyDescent="0.2">
      <c r="A458" s="108" t="s">
        <v>26</v>
      </c>
      <c r="B458" s="429" t="s">
        <v>562</v>
      </c>
      <c r="C458" s="429"/>
      <c r="D458" s="429"/>
      <c r="E458" s="205"/>
      <c r="F458" s="205"/>
      <c r="G458" s="412"/>
      <c r="H458" s="253"/>
      <c r="I458" s="34"/>
      <c r="J458" s="253"/>
      <c r="K458" s="308"/>
      <c r="L458" s="253"/>
      <c r="M458" s="253"/>
      <c r="N458" s="253"/>
      <c r="O458" s="253"/>
      <c r="P458" s="253"/>
      <c r="Q458" s="253"/>
      <c r="R458" s="253"/>
      <c r="S458" s="253"/>
      <c r="Y458" s="89"/>
      <c r="BI458" s="89"/>
      <c r="BJ458" s="305"/>
    </row>
    <row r="459" spans="1:62" s="2" customFormat="1" ht="46.5" hidden="1" customHeight="1" x14ac:dyDescent="0.2">
      <c r="A459" s="404" t="s">
        <v>563</v>
      </c>
      <c r="B459" s="397" t="s">
        <v>564</v>
      </c>
      <c r="C459" s="379" t="s">
        <v>236</v>
      </c>
      <c r="D459" s="13">
        <v>76.150000000000006</v>
      </c>
      <c r="E459" s="96"/>
      <c r="F459" s="154">
        <f>D459+E459</f>
        <v>76.150000000000006</v>
      </c>
      <c r="G459" s="412"/>
      <c r="H459" s="253"/>
      <c r="I459" s="34"/>
      <c r="J459" s="253"/>
      <c r="K459" s="308"/>
      <c r="L459" s="253"/>
      <c r="M459" s="253"/>
      <c r="N459" s="253"/>
      <c r="O459" s="253"/>
      <c r="P459" s="253"/>
      <c r="Q459" s="253"/>
      <c r="R459" s="253"/>
      <c r="S459" s="253"/>
      <c r="Y459" s="89"/>
      <c r="BI459" s="89"/>
      <c r="BJ459" s="305"/>
    </row>
    <row r="460" spans="1:62" s="2" customFormat="1" ht="21.75" hidden="1" customHeight="1" x14ac:dyDescent="0.2">
      <c r="A460" s="404" t="s">
        <v>565</v>
      </c>
      <c r="B460" s="381" t="s">
        <v>566</v>
      </c>
      <c r="C460" s="379" t="s">
        <v>236</v>
      </c>
      <c r="D460" s="13">
        <v>13.77</v>
      </c>
      <c r="E460" s="96"/>
      <c r="F460" s="154">
        <f>D460+E460</f>
        <v>13.77</v>
      </c>
      <c r="G460" s="412"/>
      <c r="H460" s="253"/>
      <c r="I460" s="34"/>
      <c r="J460" s="253"/>
      <c r="K460" s="308"/>
      <c r="L460" s="253"/>
      <c r="M460" s="253"/>
      <c r="N460" s="253"/>
      <c r="O460" s="253"/>
      <c r="P460" s="253"/>
      <c r="Q460" s="253"/>
      <c r="R460" s="253"/>
      <c r="S460" s="253"/>
      <c r="Y460" s="89"/>
      <c r="BI460" s="89"/>
      <c r="BJ460" s="305"/>
    </row>
    <row r="461" spans="1:62" s="2" customFormat="1" ht="19.5" hidden="1" customHeight="1" x14ac:dyDescent="0.2">
      <c r="A461" s="404"/>
      <c r="B461" s="435" t="s">
        <v>529</v>
      </c>
      <c r="C461" s="435"/>
      <c r="D461" s="435"/>
      <c r="E461" s="208"/>
      <c r="F461" s="208"/>
      <c r="G461" s="412"/>
      <c r="H461" s="253"/>
      <c r="I461" s="34"/>
      <c r="J461" s="253"/>
      <c r="K461" s="308"/>
      <c r="L461" s="253"/>
      <c r="M461" s="253"/>
      <c r="N461" s="253"/>
      <c r="O461" s="253"/>
      <c r="P461" s="253"/>
      <c r="Q461" s="253"/>
      <c r="R461" s="253"/>
      <c r="S461" s="253"/>
      <c r="Y461" s="89"/>
      <c r="BI461" s="89"/>
      <c r="BJ461" s="305"/>
    </row>
    <row r="462" spans="1:62" s="2" customFormat="1" ht="18.75" hidden="1" customHeight="1" x14ac:dyDescent="0.2">
      <c r="A462" s="404" t="s">
        <v>567</v>
      </c>
      <c r="B462" s="381" t="s">
        <v>568</v>
      </c>
      <c r="C462" s="379" t="s">
        <v>236</v>
      </c>
      <c r="D462" s="13">
        <v>69.66</v>
      </c>
      <c r="E462" s="96"/>
      <c r="F462" s="154">
        <f>D462+E462</f>
        <v>69.66</v>
      </c>
      <c r="G462" s="412"/>
      <c r="H462" s="253"/>
      <c r="I462" s="34"/>
      <c r="J462" s="253"/>
      <c r="K462" s="308"/>
      <c r="L462" s="253"/>
      <c r="M462" s="253"/>
      <c r="N462" s="253"/>
      <c r="O462" s="253"/>
      <c r="P462" s="253"/>
      <c r="Q462" s="253"/>
      <c r="R462" s="253"/>
      <c r="S462" s="253"/>
      <c r="Y462" s="89"/>
      <c r="BI462" s="89"/>
      <c r="BJ462" s="305"/>
    </row>
    <row r="463" spans="1:62" s="2" customFormat="1" ht="32.25" hidden="1" customHeight="1" x14ac:dyDescent="0.2">
      <c r="A463" s="404" t="s">
        <v>569</v>
      </c>
      <c r="B463" s="381" t="s">
        <v>570</v>
      </c>
      <c r="C463" s="379" t="s">
        <v>236</v>
      </c>
      <c r="D463" s="13">
        <v>58.84</v>
      </c>
      <c r="E463" s="96"/>
      <c r="F463" s="154">
        <f>D463+E463</f>
        <v>58.84</v>
      </c>
      <c r="G463" s="412"/>
      <c r="H463" s="253"/>
      <c r="I463" s="34"/>
      <c r="J463" s="253"/>
      <c r="K463" s="308"/>
      <c r="L463" s="253"/>
      <c r="M463" s="253"/>
      <c r="N463" s="253"/>
      <c r="O463" s="253"/>
      <c r="P463" s="253"/>
      <c r="Q463" s="253"/>
      <c r="R463" s="253"/>
      <c r="S463" s="253"/>
      <c r="Y463" s="89"/>
      <c r="BI463" s="89"/>
      <c r="BJ463" s="305"/>
    </row>
    <row r="464" spans="1:62" s="2" customFormat="1" ht="23.25" hidden="1" customHeight="1" x14ac:dyDescent="0.2">
      <c r="A464" s="404" t="s">
        <v>571</v>
      </c>
      <c r="B464" s="381" t="s">
        <v>572</v>
      </c>
      <c r="C464" s="379" t="s">
        <v>236</v>
      </c>
      <c r="D464" s="13">
        <v>106.08</v>
      </c>
      <c r="E464" s="96"/>
      <c r="F464" s="154">
        <f>D464+E464</f>
        <v>106.08</v>
      </c>
      <c r="G464" s="412"/>
      <c r="H464" s="253"/>
      <c r="I464" s="34"/>
      <c r="J464" s="253"/>
      <c r="K464" s="308"/>
      <c r="L464" s="253"/>
      <c r="M464" s="253"/>
      <c r="N464" s="253"/>
      <c r="O464" s="253"/>
      <c r="P464" s="253"/>
      <c r="Q464" s="253"/>
      <c r="R464" s="253"/>
      <c r="S464" s="253"/>
      <c r="Y464" s="89"/>
      <c r="BI464" s="89"/>
      <c r="BJ464" s="305"/>
    </row>
    <row r="465" spans="1:62" s="2" customFormat="1" ht="22.5" hidden="1" customHeight="1" x14ac:dyDescent="0.2">
      <c r="A465" s="404" t="s">
        <v>573</v>
      </c>
      <c r="B465" s="381" t="s">
        <v>574</v>
      </c>
      <c r="C465" s="379" t="s">
        <v>236</v>
      </c>
      <c r="D465" s="13">
        <v>103.91</v>
      </c>
      <c r="E465" s="96"/>
      <c r="F465" s="154">
        <f>D465+E465</f>
        <v>103.91</v>
      </c>
      <c r="G465" s="412"/>
      <c r="H465" s="253"/>
      <c r="I465" s="34"/>
      <c r="J465" s="253"/>
      <c r="K465" s="308"/>
      <c r="L465" s="253"/>
      <c r="M465" s="253"/>
      <c r="N465" s="253"/>
      <c r="O465" s="253"/>
      <c r="P465" s="253"/>
      <c r="Q465" s="253"/>
      <c r="R465" s="253"/>
      <c r="S465" s="253"/>
      <c r="Y465" s="89"/>
      <c r="BI465" s="89"/>
      <c r="BJ465" s="305"/>
    </row>
    <row r="466" spans="1:62" s="2" customFormat="1" ht="21.75" hidden="1" customHeight="1" x14ac:dyDescent="0.2">
      <c r="A466" s="404" t="s">
        <v>575</v>
      </c>
      <c r="B466" s="381" t="s">
        <v>576</v>
      </c>
      <c r="C466" s="379" t="s">
        <v>236</v>
      </c>
      <c r="D466" s="13">
        <v>26.3</v>
      </c>
      <c r="E466" s="96"/>
      <c r="F466" s="154">
        <f>D466+E466</f>
        <v>26.3</v>
      </c>
      <c r="G466" s="412"/>
      <c r="H466" s="253"/>
      <c r="I466" s="34"/>
      <c r="J466" s="253"/>
      <c r="K466" s="308"/>
      <c r="L466" s="253"/>
      <c r="M466" s="253"/>
      <c r="N466" s="253"/>
      <c r="O466" s="253"/>
      <c r="P466" s="253"/>
      <c r="Q466" s="253"/>
      <c r="R466" s="253"/>
      <c r="S466" s="253"/>
      <c r="Y466" s="89"/>
      <c r="BI466" s="89"/>
      <c r="BJ466" s="305"/>
    </row>
    <row r="467" spans="1:62" s="2" customFormat="1" ht="22.5" customHeight="1" x14ac:dyDescent="0.2">
      <c r="A467" s="109" t="s">
        <v>473</v>
      </c>
      <c r="B467" s="450" t="s">
        <v>577</v>
      </c>
      <c r="C467" s="450"/>
      <c r="D467" s="450"/>
      <c r="E467" s="209"/>
      <c r="F467" s="209"/>
      <c r="G467" s="412"/>
      <c r="H467" s="253"/>
      <c r="I467" s="34"/>
      <c r="J467" s="253"/>
      <c r="K467" s="308"/>
      <c r="L467" s="253"/>
      <c r="M467" s="253"/>
      <c r="N467" s="253"/>
      <c r="O467" s="253"/>
      <c r="P467" s="253"/>
      <c r="Q467" s="253"/>
      <c r="R467" s="253"/>
      <c r="S467" s="253"/>
      <c r="Y467" s="89"/>
      <c r="BI467" s="89"/>
      <c r="BJ467" s="305"/>
    </row>
    <row r="468" spans="1:62" s="2" customFormat="1" ht="18.75" hidden="1" customHeight="1" x14ac:dyDescent="0.2">
      <c r="A468" s="110"/>
      <c r="B468" s="451" t="s">
        <v>529</v>
      </c>
      <c r="C468" s="451"/>
      <c r="D468" s="451"/>
      <c r="E468" s="537"/>
      <c r="F468" s="451"/>
      <c r="G468" s="412"/>
      <c r="H468" s="253"/>
      <c r="I468" s="34"/>
      <c r="J468" s="253"/>
      <c r="K468" s="308"/>
      <c r="L468" s="253"/>
      <c r="M468" s="253"/>
      <c r="N468" s="253"/>
      <c r="O468" s="253"/>
      <c r="P468" s="253"/>
      <c r="Q468" s="253"/>
      <c r="R468" s="253"/>
      <c r="S468" s="253"/>
      <c r="Y468" s="89"/>
      <c r="BI468" s="89"/>
      <c r="BJ468" s="305"/>
    </row>
    <row r="469" spans="1:62" s="2" customFormat="1" ht="26.25" customHeight="1" x14ac:dyDescent="0.2">
      <c r="A469" s="404" t="s">
        <v>1953</v>
      </c>
      <c r="B469" s="381" t="s">
        <v>579</v>
      </c>
      <c r="C469" s="122" t="s">
        <v>1666</v>
      </c>
      <c r="D469" s="13">
        <v>88.88</v>
      </c>
      <c r="E469" s="96"/>
      <c r="F469" s="154">
        <f t="shared" ref="F469:F492" si="21">D469+E469</f>
        <v>88.88</v>
      </c>
      <c r="G469" s="412"/>
      <c r="H469" s="253"/>
      <c r="I469" s="34"/>
      <c r="J469" s="253"/>
      <c r="K469" s="308"/>
      <c r="L469" s="253"/>
      <c r="M469" s="253"/>
      <c r="N469" s="253"/>
      <c r="O469" s="253"/>
      <c r="P469" s="253"/>
      <c r="Q469" s="253"/>
      <c r="R469" s="253"/>
      <c r="S469" s="253"/>
      <c r="Y469" s="89"/>
      <c r="BI469" s="89"/>
      <c r="BJ469" s="305"/>
    </row>
    <row r="470" spans="1:62" s="2" customFormat="1" ht="21.75" customHeight="1" x14ac:dyDescent="0.2">
      <c r="A470" s="404" t="s">
        <v>2328</v>
      </c>
      <c r="B470" s="381" t="s">
        <v>581</v>
      </c>
      <c r="C470" s="122" t="s">
        <v>1666</v>
      </c>
      <c r="D470" s="13">
        <v>72.42</v>
      </c>
      <c r="E470" s="96"/>
      <c r="F470" s="154">
        <f t="shared" si="21"/>
        <v>72.42</v>
      </c>
      <c r="G470" s="412"/>
      <c r="H470" s="253"/>
      <c r="I470" s="34"/>
      <c r="J470" s="253" t="s">
        <v>1794</v>
      </c>
      <c r="K470" s="308"/>
      <c r="L470" s="253"/>
      <c r="M470" s="253"/>
      <c r="N470" s="253"/>
      <c r="O470" s="253"/>
      <c r="P470" s="253"/>
      <c r="Q470" s="253"/>
      <c r="R470" s="253"/>
      <c r="S470" s="253"/>
      <c r="Y470" s="89"/>
      <c r="BI470" s="89"/>
      <c r="BJ470" s="305"/>
    </row>
    <row r="471" spans="1:62" s="2" customFormat="1" ht="21.75" hidden="1" customHeight="1" x14ac:dyDescent="0.2">
      <c r="A471" s="404" t="s">
        <v>2329</v>
      </c>
      <c r="B471" s="381" t="s">
        <v>583</v>
      </c>
      <c r="C471" s="122" t="s">
        <v>1666</v>
      </c>
      <c r="D471" s="262">
        <v>54.3</v>
      </c>
      <c r="E471" s="96"/>
      <c r="F471" s="154">
        <f t="shared" si="21"/>
        <v>54.3</v>
      </c>
      <c r="G471" s="412"/>
      <c r="H471" s="253"/>
      <c r="I471" s="34"/>
      <c r="J471" s="253"/>
      <c r="K471" s="308"/>
      <c r="L471" s="253"/>
      <c r="M471" s="253"/>
      <c r="N471" s="253"/>
      <c r="O471" s="253"/>
      <c r="P471" s="253"/>
      <c r="Q471" s="253"/>
      <c r="R471" s="253"/>
      <c r="S471" s="253"/>
      <c r="Y471" s="89"/>
      <c r="BI471" s="89"/>
      <c r="BJ471" s="305"/>
    </row>
    <row r="472" spans="1:62" s="2" customFormat="1" ht="21" customHeight="1" x14ac:dyDescent="0.2">
      <c r="A472" s="404" t="s">
        <v>2329</v>
      </c>
      <c r="B472" s="381" t="s">
        <v>585</v>
      </c>
      <c r="C472" s="122" t="s">
        <v>1666</v>
      </c>
      <c r="D472" s="13">
        <v>99.75</v>
      </c>
      <c r="E472" s="96"/>
      <c r="F472" s="154">
        <f t="shared" si="21"/>
        <v>99.75</v>
      </c>
      <c r="G472" s="412"/>
      <c r="H472" s="253"/>
      <c r="I472" s="34"/>
      <c r="J472" s="253"/>
      <c r="K472" s="308"/>
      <c r="L472" s="253"/>
      <c r="M472" s="253"/>
      <c r="N472" s="253"/>
      <c r="O472" s="253"/>
      <c r="P472" s="253"/>
      <c r="Q472" s="253"/>
      <c r="R472" s="253"/>
      <c r="S472" s="253"/>
      <c r="Y472" s="89"/>
      <c r="BI472" s="89"/>
      <c r="BJ472" s="305"/>
    </row>
    <row r="473" spans="1:62" s="2" customFormat="1" ht="19.5" hidden="1" customHeight="1" x14ac:dyDescent="0.2">
      <c r="A473" s="404" t="s">
        <v>586</v>
      </c>
      <c r="B473" s="381" t="s">
        <v>587</v>
      </c>
      <c r="C473" s="379" t="s">
        <v>236</v>
      </c>
      <c r="D473" s="262">
        <v>29.16</v>
      </c>
      <c r="E473" s="96">
        <f t="shared" ref="E473:E493" si="22">D473*20%</f>
        <v>5.83</v>
      </c>
      <c r="F473" s="154">
        <f>D473+E473</f>
        <v>34.99</v>
      </c>
      <c r="G473" s="412"/>
      <c r="H473" s="253"/>
      <c r="I473" s="34"/>
      <c r="J473" s="253"/>
      <c r="K473" s="308"/>
      <c r="L473" s="253"/>
      <c r="M473" s="253"/>
      <c r="N473" s="253"/>
      <c r="O473" s="253"/>
      <c r="P473" s="253"/>
      <c r="Q473" s="253"/>
      <c r="R473" s="253"/>
      <c r="S473" s="253"/>
      <c r="Y473" s="89"/>
      <c r="BI473" s="89"/>
      <c r="BJ473" s="305"/>
    </row>
    <row r="474" spans="1:62" s="2" customFormat="1" ht="20.25" hidden="1" customHeight="1" x14ac:dyDescent="0.2">
      <c r="A474" s="404" t="s">
        <v>588</v>
      </c>
      <c r="B474" s="381" t="s">
        <v>589</v>
      </c>
      <c r="C474" s="379" t="s">
        <v>236</v>
      </c>
      <c r="D474" s="262">
        <v>35.36</v>
      </c>
      <c r="E474" s="96">
        <f t="shared" si="22"/>
        <v>7.07</v>
      </c>
      <c r="F474" s="154">
        <f t="shared" si="21"/>
        <v>42.43</v>
      </c>
      <c r="G474" s="412"/>
      <c r="H474" s="253"/>
      <c r="I474" s="34"/>
      <c r="J474" s="253"/>
      <c r="K474" s="308"/>
      <c r="L474" s="253"/>
      <c r="M474" s="253"/>
      <c r="N474" s="253"/>
      <c r="O474" s="253"/>
      <c r="P474" s="253"/>
      <c r="Q474" s="253"/>
      <c r="R474" s="253"/>
      <c r="S474" s="253"/>
      <c r="Y474" s="89"/>
      <c r="BI474" s="89"/>
      <c r="BJ474" s="305"/>
    </row>
    <row r="475" spans="1:62" s="2" customFormat="1" ht="28.5" hidden="1" customHeight="1" x14ac:dyDescent="0.2">
      <c r="A475" s="404" t="s">
        <v>590</v>
      </c>
      <c r="B475" s="381" t="s">
        <v>591</v>
      </c>
      <c r="C475" s="379" t="s">
        <v>236</v>
      </c>
      <c r="D475" s="262">
        <v>130.88999999999999</v>
      </c>
      <c r="E475" s="96">
        <f t="shared" si="22"/>
        <v>26.18</v>
      </c>
      <c r="F475" s="154">
        <f>D475+E475</f>
        <v>157.07</v>
      </c>
      <c r="G475" s="412"/>
      <c r="H475" s="253"/>
      <c r="I475" s="34"/>
      <c r="J475" s="253"/>
      <c r="K475" s="308"/>
      <c r="L475" s="253"/>
      <c r="M475" s="253"/>
      <c r="N475" s="253"/>
      <c r="O475" s="253"/>
      <c r="P475" s="253"/>
      <c r="Q475" s="253"/>
      <c r="R475" s="253"/>
      <c r="S475" s="253"/>
      <c r="Y475" s="89"/>
      <c r="BI475" s="89"/>
      <c r="BJ475" s="305"/>
    </row>
    <row r="476" spans="1:62" s="2" customFormat="1" ht="30.75" hidden="1" customHeight="1" x14ac:dyDescent="0.2">
      <c r="A476" s="404" t="s">
        <v>592</v>
      </c>
      <c r="B476" s="381" t="s">
        <v>593</v>
      </c>
      <c r="C476" s="379" t="s">
        <v>236</v>
      </c>
      <c r="D476" s="262">
        <v>95.27</v>
      </c>
      <c r="E476" s="96">
        <f t="shared" si="22"/>
        <v>19.05</v>
      </c>
      <c r="F476" s="154">
        <f t="shared" si="21"/>
        <v>114.32</v>
      </c>
      <c r="G476" s="412"/>
      <c r="H476" s="253"/>
      <c r="I476" s="34"/>
      <c r="J476" s="253"/>
      <c r="K476" s="308"/>
      <c r="L476" s="253"/>
      <c r="M476" s="253"/>
      <c r="N476" s="253"/>
      <c r="O476" s="253"/>
      <c r="P476" s="253"/>
      <c r="Q476" s="253"/>
      <c r="R476" s="253"/>
      <c r="S476" s="253"/>
      <c r="Y476" s="89"/>
      <c r="BI476" s="89"/>
      <c r="BJ476" s="305"/>
    </row>
    <row r="477" spans="1:62" s="2" customFormat="1" ht="22.5" hidden="1" customHeight="1" x14ac:dyDescent="0.2">
      <c r="A477" s="404" t="s">
        <v>594</v>
      </c>
      <c r="B477" s="381" t="s">
        <v>595</v>
      </c>
      <c r="C477" s="379" t="s">
        <v>236</v>
      </c>
      <c r="D477" s="262">
        <v>72.180000000000007</v>
      </c>
      <c r="E477" s="96">
        <f t="shared" si="22"/>
        <v>14.44</v>
      </c>
      <c r="F477" s="154">
        <f t="shared" si="21"/>
        <v>86.62</v>
      </c>
      <c r="G477" s="412"/>
      <c r="H477" s="253"/>
      <c r="I477" s="34"/>
      <c r="J477" s="253"/>
      <c r="K477" s="308"/>
      <c r="L477" s="253"/>
      <c r="M477" s="253"/>
      <c r="N477" s="253"/>
      <c r="O477" s="253"/>
      <c r="P477" s="253"/>
      <c r="Q477" s="253"/>
      <c r="R477" s="253"/>
      <c r="S477" s="253"/>
      <c r="Y477" s="89"/>
      <c r="BI477" s="89"/>
      <c r="BJ477" s="305"/>
    </row>
    <row r="478" spans="1:62" s="2" customFormat="1" ht="34.5" hidden="1" customHeight="1" x14ac:dyDescent="0.2">
      <c r="A478" s="404" t="s">
        <v>596</v>
      </c>
      <c r="B478" s="381" t="s">
        <v>597</v>
      </c>
      <c r="C478" s="379" t="s">
        <v>236</v>
      </c>
      <c r="D478" s="262">
        <v>79.319999999999993</v>
      </c>
      <c r="E478" s="96">
        <f t="shared" si="22"/>
        <v>15.86</v>
      </c>
      <c r="F478" s="154">
        <f t="shared" si="21"/>
        <v>95.18</v>
      </c>
      <c r="G478" s="412"/>
      <c r="H478" s="253"/>
      <c r="I478" s="34"/>
      <c r="J478" s="253"/>
      <c r="K478" s="308"/>
      <c r="L478" s="253"/>
      <c r="M478" s="253"/>
      <c r="N478" s="253"/>
      <c r="O478" s="253"/>
      <c r="P478" s="253"/>
      <c r="Q478" s="253"/>
      <c r="R478" s="253"/>
      <c r="S478" s="253"/>
      <c r="Y478" s="89"/>
      <c r="BI478" s="89"/>
      <c r="BJ478" s="305"/>
    </row>
    <row r="479" spans="1:62" s="2" customFormat="1" ht="30.75" hidden="1" customHeight="1" x14ac:dyDescent="0.2">
      <c r="A479" s="404" t="s">
        <v>598</v>
      </c>
      <c r="B479" s="381" t="s">
        <v>2182</v>
      </c>
      <c r="C479" s="379" t="s">
        <v>236</v>
      </c>
      <c r="D479" s="262">
        <v>78.260000000000005</v>
      </c>
      <c r="E479" s="96">
        <f t="shared" si="22"/>
        <v>15.65</v>
      </c>
      <c r="F479" s="154">
        <f t="shared" si="21"/>
        <v>93.91</v>
      </c>
      <c r="G479" s="412"/>
      <c r="H479" s="253"/>
      <c r="I479" s="34"/>
      <c r="J479" s="253"/>
      <c r="K479" s="308"/>
      <c r="L479" s="253"/>
      <c r="M479" s="253"/>
      <c r="N479" s="253"/>
      <c r="O479" s="253"/>
      <c r="P479" s="253"/>
      <c r="Q479" s="253"/>
      <c r="R479" s="253"/>
      <c r="S479" s="253"/>
      <c r="Y479" s="89"/>
      <c r="BI479" s="89"/>
      <c r="BJ479" s="305"/>
    </row>
    <row r="480" spans="1:62" s="2" customFormat="1" ht="30.75" hidden="1" customHeight="1" x14ac:dyDescent="0.2">
      <c r="A480" s="404" t="s">
        <v>600</v>
      </c>
      <c r="B480" s="381" t="s">
        <v>601</v>
      </c>
      <c r="C480" s="379" t="s">
        <v>236</v>
      </c>
      <c r="D480" s="262">
        <v>32.270000000000003</v>
      </c>
      <c r="E480" s="96">
        <f t="shared" si="22"/>
        <v>6.45</v>
      </c>
      <c r="F480" s="154">
        <f t="shared" si="21"/>
        <v>38.72</v>
      </c>
      <c r="G480" s="412"/>
      <c r="H480" s="253"/>
      <c r="I480" s="34"/>
      <c r="J480" s="253"/>
      <c r="K480" s="308"/>
      <c r="L480" s="253"/>
      <c r="M480" s="253"/>
      <c r="N480" s="253"/>
      <c r="O480" s="253"/>
      <c r="P480" s="253"/>
      <c r="Q480" s="253"/>
      <c r="R480" s="253"/>
      <c r="S480" s="253"/>
      <c r="Y480" s="89"/>
      <c r="BI480" s="89"/>
      <c r="BJ480" s="305"/>
    </row>
    <row r="481" spans="1:62" s="2" customFormat="1" ht="35.25" hidden="1" customHeight="1" x14ac:dyDescent="0.2">
      <c r="A481" s="404" t="s">
        <v>602</v>
      </c>
      <c r="B481" s="381" t="s">
        <v>603</v>
      </c>
      <c r="C481" s="379" t="s">
        <v>236</v>
      </c>
      <c r="D481" s="262">
        <v>23.41</v>
      </c>
      <c r="E481" s="96">
        <f t="shared" si="22"/>
        <v>4.68</v>
      </c>
      <c r="F481" s="154">
        <f t="shared" si="21"/>
        <v>28.09</v>
      </c>
      <c r="G481" s="412"/>
      <c r="H481" s="253"/>
      <c r="I481" s="34"/>
      <c r="J481" s="253"/>
      <c r="K481" s="308"/>
      <c r="L481" s="253"/>
      <c r="M481" s="253"/>
      <c r="N481" s="253"/>
      <c r="O481" s="253"/>
      <c r="P481" s="253"/>
      <c r="Q481" s="253"/>
      <c r="R481" s="253"/>
      <c r="S481" s="253"/>
      <c r="Y481" s="89"/>
      <c r="BI481" s="89"/>
      <c r="BJ481" s="305"/>
    </row>
    <row r="482" spans="1:62" s="2" customFormat="1" ht="26.25" hidden="1" customHeight="1" x14ac:dyDescent="0.2">
      <c r="A482" s="404" t="s">
        <v>604</v>
      </c>
      <c r="B482" s="381" t="s">
        <v>605</v>
      </c>
      <c r="C482" s="379" t="s">
        <v>236</v>
      </c>
      <c r="D482" s="262">
        <v>86.35</v>
      </c>
      <c r="E482" s="96">
        <f t="shared" si="22"/>
        <v>17.27</v>
      </c>
      <c r="F482" s="154">
        <f t="shared" si="21"/>
        <v>103.62</v>
      </c>
      <c r="G482" s="412"/>
      <c r="H482" s="253"/>
      <c r="I482" s="34"/>
      <c r="J482" s="253"/>
      <c r="K482" s="308"/>
      <c r="L482" s="253"/>
      <c r="M482" s="253"/>
      <c r="N482" s="253"/>
      <c r="O482" s="253"/>
      <c r="P482" s="253"/>
      <c r="Q482" s="253"/>
      <c r="R482" s="253"/>
      <c r="S482" s="253"/>
      <c r="Y482" s="89"/>
      <c r="BI482" s="89"/>
      <c r="BJ482" s="305"/>
    </row>
    <row r="483" spans="1:62" s="2" customFormat="1" ht="24.75" hidden="1" customHeight="1" x14ac:dyDescent="0.2">
      <c r="A483" s="404" t="s">
        <v>606</v>
      </c>
      <c r="B483" s="381" t="s">
        <v>545</v>
      </c>
      <c r="C483" s="379" t="s">
        <v>236</v>
      </c>
      <c r="D483" s="262">
        <v>85.24</v>
      </c>
      <c r="E483" s="96">
        <f t="shared" si="22"/>
        <v>17.05</v>
      </c>
      <c r="F483" s="154">
        <f t="shared" si="21"/>
        <v>102.29</v>
      </c>
      <c r="G483" s="412"/>
      <c r="H483" s="253"/>
      <c r="I483" s="34"/>
      <c r="J483" s="253"/>
      <c r="K483" s="308"/>
      <c r="L483" s="253"/>
      <c r="M483" s="253"/>
      <c r="N483" s="253"/>
      <c r="O483" s="253"/>
      <c r="P483" s="253"/>
      <c r="Q483" s="253"/>
      <c r="R483" s="253"/>
      <c r="S483" s="253"/>
      <c r="Y483" s="89"/>
      <c r="BI483" s="89"/>
      <c r="BJ483" s="305"/>
    </row>
    <row r="484" spans="1:62" s="2" customFormat="1" ht="29.25" hidden="1" customHeight="1" x14ac:dyDescent="0.2">
      <c r="A484" s="404" t="s">
        <v>607</v>
      </c>
      <c r="B484" s="381" t="s">
        <v>608</v>
      </c>
      <c r="C484" s="379" t="s">
        <v>236</v>
      </c>
      <c r="D484" s="262">
        <v>52.42</v>
      </c>
      <c r="E484" s="96">
        <f t="shared" si="22"/>
        <v>10.48</v>
      </c>
      <c r="F484" s="154">
        <f t="shared" si="21"/>
        <v>62.9</v>
      </c>
      <c r="G484" s="412"/>
      <c r="H484" s="253"/>
      <c r="I484" s="34"/>
      <c r="J484" s="253"/>
      <c r="K484" s="308"/>
      <c r="L484" s="253"/>
      <c r="M484" s="253"/>
      <c r="N484" s="253"/>
      <c r="O484" s="253"/>
      <c r="P484" s="253"/>
      <c r="Q484" s="253"/>
      <c r="R484" s="253"/>
      <c r="S484" s="253"/>
      <c r="Y484" s="89"/>
      <c r="BI484" s="89"/>
      <c r="BJ484" s="305"/>
    </row>
    <row r="485" spans="1:62" s="2" customFormat="1" ht="26.25" hidden="1" customHeight="1" x14ac:dyDescent="0.2">
      <c r="A485" s="404" t="s">
        <v>609</v>
      </c>
      <c r="B485" s="381" t="s">
        <v>610</v>
      </c>
      <c r="C485" s="379" t="s">
        <v>236</v>
      </c>
      <c r="D485" s="262">
        <v>50.73</v>
      </c>
      <c r="E485" s="96">
        <f t="shared" si="22"/>
        <v>10.15</v>
      </c>
      <c r="F485" s="154">
        <f t="shared" si="21"/>
        <v>60.88</v>
      </c>
      <c r="G485" s="412"/>
      <c r="H485" s="253"/>
      <c r="I485" s="34"/>
      <c r="J485" s="253"/>
      <c r="K485" s="308"/>
      <c r="L485" s="253"/>
      <c r="M485" s="253"/>
      <c r="N485" s="253"/>
      <c r="O485" s="253"/>
      <c r="P485" s="253"/>
      <c r="Q485" s="253"/>
      <c r="R485" s="253"/>
      <c r="S485" s="253"/>
      <c r="Y485" s="89"/>
      <c r="BI485" s="89"/>
      <c r="BJ485" s="305"/>
    </row>
    <row r="486" spans="1:62" s="2" customFormat="1" ht="36" hidden="1" customHeight="1" x14ac:dyDescent="0.2">
      <c r="A486" s="404" t="s">
        <v>611</v>
      </c>
      <c r="B486" s="381" t="s">
        <v>612</v>
      </c>
      <c r="C486" s="379" t="s">
        <v>236</v>
      </c>
      <c r="D486" s="262">
        <v>27.03</v>
      </c>
      <c r="E486" s="96">
        <f t="shared" si="22"/>
        <v>5.41</v>
      </c>
      <c r="F486" s="154">
        <f t="shared" si="21"/>
        <v>32.44</v>
      </c>
      <c r="G486" s="412"/>
      <c r="H486" s="253"/>
      <c r="I486" s="34"/>
      <c r="J486" s="253"/>
      <c r="K486" s="308"/>
      <c r="L486" s="253"/>
      <c r="M486" s="253"/>
      <c r="N486" s="253"/>
      <c r="O486" s="253"/>
      <c r="P486" s="253"/>
      <c r="Q486" s="253"/>
      <c r="R486" s="253"/>
      <c r="S486" s="253"/>
      <c r="Y486" s="89"/>
      <c r="BI486" s="89"/>
      <c r="BJ486" s="305"/>
    </row>
    <row r="487" spans="1:62" s="2" customFormat="1" ht="28.5" hidden="1" customHeight="1" x14ac:dyDescent="0.2">
      <c r="A487" s="404" t="s">
        <v>613</v>
      </c>
      <c r="B487" s="381" t="s">
        <v>614</v>
      </c>
      <c r="C487" s="379" t="s">
        <v>236</v>
      </c>
      <c r="D487" s="262">
        <v>26.3</v>
      </c>
      <c r="E487" s="96">
        <f t="shared" si="22"/>
        <v>5.26</v>
      </c>
      <c r="F487" s="154">
        <f t="shared" si="21"/>
        <v>31.56</v>
      </c>
      <c r="G487" s="412"/>
      <c r="H487" s="253"/>
      <c r="I487" s="34"/>
      <c r="J487" s="253"/>
      <c r="K487" s="308"/>
      <c r="L487" s="253"/>
      <c r="M487" s="253"/>
      <c r="N487" s="253"/>
      <c r="O487" s="253"/>
      <c r="P487" s="253"/>
      <c r="Q487" s="253"/>
      <c r="R487" s="253"/>
      <c r="S487" s="253"/>
      <c r="Y487" s="89"/>
      <c r="BI487" s="89"/>
      <c r="BJ487" s="305"/>
    </row>
    <row r="488" spans="1:62" s="2" customFormat="1" ht="29.25" hidden="1" customHeight="1" x14ac:dyDescent="0.2">
      <c r="A488" s="404" t="s">
        <v>615</v>
      </c>
      <c r="B488" s="392" t="s">
        <v>616</v>
      </c>
      <c r="C488" s="379" t="s">
        <v>236</v>
      </c>
      <c r="D488" s="262">
        <v>118.9</v>
      </c>
      <c r="E488" s="96">
        <f t="shared" si="22"/>
        <v>23.78</v>
      </c>
      <c r="F488" s="154">
        <f t="shared" si="21"/>
        <v>142.68</v>
      </c>
      <c r="G488" s="412"/>
      <c r="H488" s="253"/>
      <c r="I488" s="34"/>
      <c r="J488" s="253"/>
      <c r="K488" s="308"/>
      <c r="L488" s="253"/>
      <c r="M488" s="253"/>
      <c r="N488" s="253"/>
      <c r="O488" s="253"/>
      <c r="P488" s="253"/>
      <c r="Q488" s="253"/>
      <c r="R488" s="253"/>
      <c r="S488" s="253"/>
      <c r="Y488" s="89"/>
      <c r="BI488" s="89"/>
      <c r="BJ488" s="305"/>
    </row>
    <row r="489" spans="1:62" s="2" customFormat="1" ht="25.5" hidden="1" customHeight="1" x14ac:dyDescent="0.2">
      <c r="A489" s="404" t="s">
        <v>617</v>
      </c>
      <c r="B489" s="392" t="s">
        <v>618</v>
      </c>
      <c r="C489" s="379" t="s">
        <v>236</v>
      </c>
      <c r="D489" s="262">
        <v>245.5</v>
      </c>
      <c r="E489" s="96">
        <f t="shared" si="22"/>
        <v>49.1</v>
      </c>
      <c r="F489" s="154">
        <f t="shared" si="21"/>
        <v>294.60000000000002</v>
      </c>
      <c r="G489" s="412"/>
      <c r="H489" s="253"/>
      <c r="I489" s="34"/>
      <c r="J489" s="253"/>
      <c r="K489" s="308"/>
      <c r="L489" s="253"/>
      <c r="M489" s="253"/>
      <c r="N489" s="253"/>
      <c r="O489" s="253"/>
      <c r="P489" s="253"/>
      <c r="Q489" s="253"/>
      <c r="R489" s="253"/>
      <c r="S489" s="253"/>
      <c r="Y489" s="89"/>
      <c r="BI489" s="89"/>
      <c r="BJ489" s="305"/>
    </row>
    <row r="490" spans="1:62" s="2" customFormat="1" ht="23.25" hidden="1" customHeight="1" x14ac:dyDescent="0.2">
      <c r="A490" s="404" t="s">
        <v>619</v>
      </c>
      <c r="B490" s="381" t="s">
        <v>620</v>
      </c>
      <c r="C490" s="379" t="s">
        <v>236</v>
      </c>
      <c r="D490" s="262">
        <v>141.4</v>
      </c>
      <c r="E490" s="96">
        <f t="shared" si="22"/>
        <v>28.28</v>
      </c>
      <c r="F490" s="154">
        <f t="shared" si="21"/>
        <v>169.68</v>
      </c>
      <c r="G490" s="412"/>
      <c r="H490" s="253"/>
      <c r="I490" s="34"/>
      <c r="J490" s="253"/>
      <c r="K490" s="308"/>
      <c r="L490" s="253"/>
      <c r="M490" s="253"/>
      <c r="N490" s="253"/>
      <c r="O490" s="253"/>
      <c r="P490" s="253"/>
      <c r="Q490" s="253"/>
      <c r="R490" s="253"/>
      <c r="S490" s="253"/>
      <c r="Y490" s="89"/>
      <c r="BI490" s="89"/>
      <c r="BJ490" s="305"/>
    </row>
    <row r="491" spans="1:62" s="2" customFormat="1" ht="30.75" hidden="1" customHeight="1" x14ac:dyDescent="0.2">
      <c r="A491" s="404" t="s">
        <v>621</v>
      </c>
      <c r="B491" s="381" t="s">
        <v>622</v>
      </c>
      <c r="C491" s="379" t="s">
        <v>236</v>
      </c>
      <c r="D491" s="262">
        <v>32.270000000000003</v>
      </c>
      <c r="E491" s="96">
        <f t="shared" si="22"/>
        <v>6.45</v>
      </c>
      <c r="F491" s="154">
        <f t="shared" si="21"/>
        <v>38.72</v>
      </c>
      <c r="G491" s="412"/>
      <c r="H491" s="253"/>
      <c r="I491" s="34"/>
      <c r="J491" s="253"/>
      <c r="K491" s="308"/>
      <c r="L491" s="253"/>
      <c r="M491" s="253"/>
      <c r="N491" s="253"/>
      <c r="O491" s="253"/>
      <c r="P491" s="253"/>
      <c r="Q491" s="253"/>
      <c r="R491" s="253"/>
      <c r="S491" s="253"/>
      <c r="Y491" s="89"/>
      <c r="BI491" s="89"/>
      <c r="BJ491" s="305"/>
    </row>
    <row r="492" spans="1:62" s="2" customFormat="1" ht="46.5" hidden="1" customHeight="1" x14ac:dyDescent="0.2">
      <c r="A492" s="404" t="s">
        <v>623</v>
      </c>
      <c r="B492" s="397" t="s">
        <v>564</v>
      </c>
      <c r="C492" s="379" t="s">
        <v>236</v>
      </c>
      <c r="D492" s="262">
        <v>76.150000000000006</v>
      </c>
      <c r="E492" s="96">
        <f t="shared" si="22"/>
        <v>15.23</v>
      </c>
      <c r="F492" s="154">
        <f t="shared" si="21"/>
        <v>91.38</v>
      </c>
      <c r="G492" s="412"/>
      <c r="H492" s="253"/>
      <c r="I492" s="34"/>
      <c r="J492" s="253"/>
      <c r="K492" s="308"/>
      <c r="L492" s="253"/>
      <c r="M492" s="253"/>
      <c r="N492" s="253"/>
      <c r="O492" s="253"/>
      <c r="P492" s="253"/>
      <c r="Q492" s="253"/>
      <c r="R492" s="253"/>
      <c r="S492" s="253"/>
      <c r="Y492" s="89"/>
      <c r="BI492" s="89"/>
      <c r="BJ492" s="305"/>
    </row>
    <row r="493" spans="1:62" s="2" customFormat="1" ht="46.5" hidden="1" customHeight="1" x14ac:dyDescent="0.2">
      <c r="A493" s="404" t="s">
        <v>624</v>
      </c>
      <c r="B493" s="381" t="s">
        <v>2181</v>
      </c>
      <c r="C493" s="379" t="s">
        <v>236</v>
      </c>
      <c r="D493" s="262">
        <v>235.34</v>
      </c>
      <c r="E493" s="96">
        <f t="shared" si="22"/>
        <v>47.07</v>
      </c>
      <c r="F493" s="154">
        <f>D493+E493</f>
        <v>282.41000000000003</v>
      </c>
      <c r="G493" s="412"/>
      <c r="H493" s="253"/>
      <c r="I493" s="34"/>
      <c r="J493" s="253"/>
      <c r="K493" s="308"/>
      <c r="L493" s="253"/>
      <c r="M493" s="253"/>
      <c r="N493" s="253"/>
      <c r="O493" s="253"/>
      <c r="P493" s="253"/>
      <c r="Q493" s="253"/>
      <c r="R493" s="253"/>
      <c r="S493" s="253"/>
      <c r="Y493" s="89"/>
      <c r="BI493" s="89"/>
      <c r="BJ493" s="305"/>
    </row>
    <row r="494" spans="1:62" s="2" customFormat="1" ht="21" hidden="1" customHeight="1" x14ac:dyDescent="0.2">
      <c r="A494" s="380" t="s">
        <v>31</v>
      </c>
      <c r="B494" s="429" t="s">
        <v>626</v>
      </c>
      <c r="C494" s="429"/>
      <c r="D494" s="429"/>
      <c r="E494" s="429"/>
      <c r="F494" s="429"/>
      <c r="G494" s="412"/>
      <c r="H494" s="253"/>
      <c r="I494" s="34"/>
      <c r="J494" s="253"/>
      <c r="K494" s="308"/>
      <c r="L494" s="253"/>
      <c r="M494" s="253"/>
      <c r="N494" s="253"/>
      <c r="O494" s="253"/>
      <c r="P494" s="253"/>
      <c r="Q494" s="253"/>
      <c r="R494" s="253"/>
      <c r="S494" s="253"/>
      <c r="Y494" s="89"/>
      <c r="BI494" s="89"/>
      <c r="BJ494" s="305"/>
    </row>
    <row r="495" spans="1:62" s="2" customFormat="1" ht="46.5" hidden="1" customHeight="1" x14ac:dyDescent="0.2">
      <c r="A495" s="404" t="s">
        <v>627</v>
      </c>
      <c r="B495" s="397" t="s">
        <v>564</v>
      </c>
      <c r="C495" s="379" t="s">
        <v>236</v>
      </c>
      <c r="D495" s="262">
        <v>76.150000000000006</v>
      </c>
      <c r="E495" s="96">
        <f>D495*20%</f>
        <v>15.23</v>
      </c>
      <c r="F495" s="154">
        <f>D495+E495</f>
        <v>91.38</v>
      </c>
      <c r="G495" s="412"/>
      <c r="H495" s="253"/>
      <c r="I495" s="34"/>
      <c r="J495" s="253"/>
      <c r="K495" s="308"/>
      <c r="L495" s="253"/>
      <c r="M495" s="253"/>
      <c r="N495" s="253"/>
      <c r="O495" s="253"/>
      <c r="P495" s="253"/>
      <c r="Q495" s="253"/>
      <c r="R495" s="253"/>
      <c r="S495" s="253"/>
      <c r="Y495" s="89"/>
      <c r="BI495" s="89"/>
      <c r="BJ495" s="305"/>
    </row>
    <row r="496" spans="1:62" s="2" customFormat="1" ht="21.75" hidden="1" customHeight="1" x14ac:dyDescent="0.2">
      <c r="A496" s="404" t="s">
        <v>628</v>
      </c>
      <c r="B496" s="381" t="s">
        <v>520</v>
      </c>
      <c r="C496" s="379" t="s">
        <v>236</v>
      </c>
      <c r="D496" s="262">
        <v>36.4</v>
      </c>
      <c r="E496" s="96">
        <f>D496*20%</f>
        <v>7.28</v>
      </c>
      <c r="F496" s="154">
        <f>D496+E496</f>
        <v>43.68</v>
      </c>
      <c r="G496" s="412"/>
      <c r="H496" s="253"/>
      <c r="I496" s="34"/>
      <c r="J496" s="253"/>
      <c r="K496" s="308"/>
      <c r="L496" s="253"/>
      <c r="M496" s="253"/>
      <c r="N496" s="253"/>
      <c r="O496" s="253"/>
      <c r="P496" s="253"/>
      <c r="Q496" s="253"/>
      <c r="R496" s="253"/>
      <c r="S496" s="253"/>
      <c r="Y496" s="89"/>
      <c r="BI496" s="89"/>
      <c r="BJ496" s="305"/>
    </row>
    <row r="497" spans="1:62" s="2" customFormat="1" ht="32.25" hidden="1" customHeight="1" x14ac:dyDescent="0.2">
      <c r="A497" s="404" t="s">
        <v>629</v>
      </c>
      <c r="B497" s="381" t="s">
        <v>630</v>
      </c>
      <c r="C497" s="379" t="s">
        <v>236</v>
      </c>
      <c r="D497" s="262">
        <v>44.42</v>
      </c>
      <c r="E497" s="96">
        <f>D497*20%</f>
        <v>8.8800000000000008</v>
      </c>
      <c r="F497" s="154">
        <f>D497+E497</f>
        <v>53.3</v>
      </c>
      <c r="G497" s="412"/>
      <c r="H497" s="253"/>
      <c r="I497" s="34"/>
      <c r="J497" s="253"/>
      <c r="K497" s="308"/>
      <c r="L497" s="253"/>
      <c r="M497" s="253"/>
      <c r="N497" s="253"/>
      <c r="O497" s="253"/>
      <c r="P497" s="253"/>
      <c r="Q497" s="253"/>
      <c r="R497" s="253"/>
      <c r="S497" s="253"/>
      <c r="Y497" s="89"/>
      <c r="BI497" s="89"/>
      <c r="BJ497" s="305"/>
    </row>
    <row r="498" spans="1:62" s="2" customFormat="1" ht="24" hidden="1" customHeight="1" x14ac:dyDescent="0.2">
      <c r="A498" s="404" t="s">
        <v>631</v>
      </c>
      <c r="B498" s="381" t="s">
        <v>632</v>
      </c>
      <c r="C498" s="379" t="s">
        <v>236</v>
      </c>
      <c r="D498" s="262">
        <v>41.23</v>
      </c>
      <c r="E498" s="96">
        <f>D498*20%</f>
        <v>8.25</v>
      </c>
      <c r="F498" s="154">
        <f>D498+E498</f>
        <v>49.48</v>
      </c>
      <c r="G498" s="412"/>
      <c r="H498" s="253"/>
      <c r="I498" s="34"/>
      <c r="J498" s="253"/>
      <c r="K498" s="308"/>
      <c r="L498" s="253"/>
      <c r="M498" s="253"/>
      <c r="N498" s="253"/>
      <c r="O498" s="253"/>
      <c r="P498" s="253"/>
      <c r="Q498" s="253"/>
      <c r="R498" s="253"/>
      <c r="S498" s="253"/>
      <c r="Y498" s="89"/>
      <c r="BI498" s="89"/>
      <c r="BJ498" s="305"/>
    </row>
    <row r="499" spans="1:62" s="2" customFormat="1" ht="20.25" hidden="1" customHeight="1" x14ac:dyDescent="0.2">
      <c r="A499" s="404"/>
      <c r="B499" s="430" t="s">
        <v>529</v>
      </c>
      <c r="C499" s="430"/>
      <c r="D499" s="430"/>
      <c r="E499" s="430"/>
      <c r="F499" s="430"/>
      <c r="G499" s="412"/>
      <c r="H499" s="253"/>
      <c r="I499" s="34"/>
      <c r="J499" s="253"/>
      <c r="K499" s="308"/>
      <c r="L499" s="253"/>
      <c r="M499" s="253"/>
      <c r="N499" s="253"/>
      <c r="O499" s="253"/>
      <c r="P499" s="253"/>
      <c r="Q499" s="253"/>
      <c r="R499" s="253"/>
      <c r="S499" s="253"/>
      <c r="Y499" s="89"/>
      <c r="BI499" s="89"/>
      <c r="BJ499" s="305"/>
    </row>
    <row r="500" spans="1:62" s="2" customFormat="1" ht="21" hidden="1" customHeight="1" x14ac:dyDescent="0.2">
      <c r="A500" s="404" t="s">
        <v>633</v>
      </c>
      <c r="B500" s="381" t="s">
        <v>579</v>
      </c>
      <c r="C500" s="379" t="s">
        <v>236</v>
      </c>
      <c r="D500" s="262">
        <v>106.08</v>
      </c>
      <c r="E500" s="96">
        <f>D500*20%</f>
        <v>21.22</v>
      </c>
      <c r="F500" s="154">
        <f>D500+E500</f>
        <v>127.3</v>
      </c>
      <c r="G500" s="412"/>
      <c r="H500" s="253"/>
      <c r="I500" s="34"/>
      <c r="J500" s="253"/>
      <c r="K500" s="308"/>
      <c r="L500" s="253"/>
      <c r="M500" s="253"/>
      <c r="N500" s="253"/>
      <c r="O500" s="253"/>
      <c r="P500" s="253"/>
      <c r="Q500" s="253"/>
      <c r="R500" s="253"/>
      <c r="S500" s="253"/>
      <c r="Y500" s="89"/>
      <c r="BI500" s="89"/>
      <c r="BJ500" s="305"/>
    </row>
    <row r="501" spans="1:62" s="2" customFormat="1" ht="18" hidden="1" customHeight="1" x14ac:dyDescent="0.2">
      <c r="A501" s="404" t="s">
        <v>634</v>
      </c>
      <c r="B501" s="381" t="s">
        <v>581</v>
      </c>
      <c r="C501" s="379" t="s">
        <v>236</v>
      </c>
      <c r="D501" s="262">
        <v>58.22</v>
      </c>
      <c r="E501" s="96">
        <f>D501*20%</f>
        <v>11.64</v>
      </c>
      <c r="F501" s="154">
        <f>D501+E501</f>
        <v>69.86</v>
      </c>
      <c r="G501" s="412"/>
      <c r="H501" s="253"/>
      <c r="I501" s="34"/>
      <c r="J501" s="253"/>
      <c r="K501" s="308"/>
      <c r="L501" s="253"/>
      <c r="M501" s="253"/>
      <c r="N501" s="253"/>
      <c r="O501" s="253"/>
      <c r="P501" s="253"/>
      <c r="Q501" s="253"/>
      <c r="R501" s="253"/>
      <c r="S501" s="253"/>
      <c r="Y501" s="89"/>
      <c r="BI501" s="89"/>
      <c r="BJ501" s="305"/>
    </row>
    <row r="502" spans="1:62" s="2" customFormat="1" ht="20.25" hidden="1" customHeight="1" x14ac:dyDescent="0.2">
      <c r="A502" s="404" t="s">
        <v>635</v>
      </c>
      <c r="B502" s="381" t="s">
        <v>583</v>
      </c>
      <c r="C502" s="379" t="s">
        <v>236</v>
      </c>
      <c r="D502" s="262">
        <v>54.3</v>
      </c>
      <c r="E502" s="96">
        <f>D502*20%</f>
        <v>10.86</v>
      </c>
      <c r="F502" s="154">
        <f>D502+E502</f>
        <v>65.16</v>
      </c>
      <c r="G502" s="412"/>
      <c r="H502" s="253"/>
      <c r="I502" s="34"/>
      <c r="J502" s="253"/>
      <c r="K502" s="308"/>
      <c r="L502" s="253"/>
      <c r="M502" s="253"/>
      <c r="N502" s="253"/>
      <c r="O502" s="253"/>
      <c r="P502" s="253"/>
      <c r="Q502" s="253"/>
      <c r="R502" s="253"/>
      <c r="S502" s="253"/>
      <c r="Y502" s="89"/>
      <c r="BI502" s="89"/>
      <c r="BJ502" s="305"/>
    </row>
    <row r="503" spans="1:62" s="2" customFormat="1" ht="27.75" hidden="1" customHeight="1" x14ac:dyDescent="0.2">
      <c r="A503" s="404" t="s">
        <v>636</v>
      </c>
      <c r="B503" s="111" t="s">
        <v>637</v>
      </c>
      <c r="C503" s="379" t="s">
        <v>236</v>
      </c>
      <c r="D503" s="262">
        <v>213.31</v>
      </c>
      <c r="E503" s="96">
        <f>D503*20%</f>
        <v>42.66</v>
      </c>
      <c r="F503" s="154">
        <f>D503+E503</f>
        <v>255.97</v>
      </c>
      <c r="G503" s="412"/>
      <c r="H503" s="253"/>
      <c r="I503" s="34"/>
      <c r="J503" s="253"/>
      <c r="K503" s="308"/>
      <c r="L503" s="253"/>
      <c r="M503" s="253"/>
      <c r="N503" s="253"/>
      <c r="O503" s="253"/>
      <c r="P503" s="253"/>
      <c r="Q503" s="253"/>
      <c r="R503" s="253"/>
      <c r="S503" s="253"/>
      <c r="Y503" s="89"/>
      <c r="BI503" s="89"/>
      <c r="BJ503" s="305"/>
    </row>
    <row r="504" spans="1:62" s="2" customFormat="1" ht="18" hidden="1" customHeight="1" x14ac:dyDescent="0.2">
      <c r="A504" s="108" t="s">
        <v>33</v>
      </c>
      <c r="B504" s="429" t="s">
        <v>638</v>
      </c>
      <c r="C504" s="429"/>
      <c r="D504" s="429"/>
      <c r="E504" s="429"/>
      <c r="F504" s="429"/>
      <c r="G504" s="412"/>
      <c r="H504" s="253"/>
      <c r="I504" s="34"/>
      <c r="J504" s="253"/>
      <c r="K504" s="308"/>
      <c r="L504" s="253"/>
      <c r="M504" s="253"/>
      <c r="N504" s="253"/>
      <c r="O504" s="253"/>
      <c r="P504" s="253"/>
      <c r="Q504" s="253"/>
      <c r="R504" s="253"/>
      <c r="S504" s="253"/>
      <c r="Y504" s="89"/>
      <c r="BI504" s="89"/>
      <c r="BJ504" s="305"/>
    </row>
    <row r="505" spans="1:62" s="2" customFormat="1" ht="46.5" hidden="1" customHeight="1" x14ac:dyDescent="0.2">
      <c r="A505" s="404" t="s">
        <v>639</v>
      </c>
      <c r="B505" s="397" t="s">
        <v>564</v>
      </c>
      <c r="C505" s="379" t="s">
        <v>236</v>
      </c>
      <c r="D505" s="262">
        <v>76.150000000000006</v>
      </c>
      <c r="E505" s="96">
        <f>D505*20%</f>
        <v>15.23</v>
      </c>
      <c r="F505" s="154">
        <f>D505+E505</f>
        <v>91.38</v>
      </c>
      <c r="G505" s="412"/>
      <c r="H505" s="253"/>
      <c r="I505" s="34"/>
      <c r="J505" s="253"/>
      <c r="K505" s="308"/>
      <c r="L505" s="253"/>
      <c r="M505" s="253"/>
      <c r="N505" s="253"/>
      <c r="O505" s="253"/>
      <c r="P505" s="253"/>
      <c r="Q505" s="253"/>
      <c r="R505" s="253"/>
      <c r="S505" s="253"/>
      <c r="Y505" s="89"/>
      <c r="BI505" s="89"/>
      <c r="BJ505" s="305"/>
    </row>
    <row r="506" spans="1:62" s="2" customFormat="1" ht="16.5" hidden="1" customHeight="1" x14ac:dyDescent="0.2">
      <c r="A506" s="404"/>
      <c r="B506" s="430" t="s">
        <v>529</v>
      </c>
      <c r="C506" s="430"/>
      <c r="D506" s="430"/>
      <c r="E506" s="430"/>
      <c r="F506" s="430"/>
      <c r="G506" s="412"/>
      <c r="H506" s="253"/>
      <c r="I506" s="34"/>
      <c r="J506" s="253"/>
      <c r="K506" s="308"/>
      <c r="L506" s="253"/>
      <c r="M506" s="253"/>
      <c r="N506" s="253"/>
      <c r="O506" s="253"/>
      <c r="P506" s="253"/>
      <c r="Q506" s="253"/>
      <c r="R506" s="253"/>
      <c r="S506" s="253"/>
      <c r="Y506" s="89"/>
      <c r="BI506" s="89"/>
      <c r="BJ506" s="305"/>
    </row>
    <row r="507" spans="1:62" s="2" customFormat="1" ht="21.75" hidden="1" customHeight="1" x14ac:dyDescent="0.2">
      <c r="A507" s="404" t="s">
        <v>640</v>
      </c>
      <c r="B507" s="381" t="s">
        <v>543</v>
      </c>
      <c r="C507" s="379" t="s">
        <v>236</v>
      </c>
      <c r="D507" s="262">
        <v>60.54</v>
      </c>
      <c r="E507" s="96">
        <f t="shared" ref="E507:E512" si="23">D507*20%</f>
        <v>12.11</v>
      </c>
      <c r="F507" s="154">
        <f t="shared" ref="F507:F512" si="24">D507+E507</f>
        <v>72.650000000000006</v>
      </c>
      <c r="G507" s="412"/>
      <c r="H507" s="253"/>
      <c r="I507" s="34"/>
      <c r="J507" s="253"/>
      <c r="K507" s="308"/>
      <c r="L507" s="253"/>
      <c r="M507" s="253"/>
      <c r="N507" s="253"/>
      <c r="O507" s="253"/>
      <c r="P507" s="253"/>
      <c r="Q507" s="253"/>
      <c r="R507" s="253"/>
      <c r="S507" s="253"/>
      <c r="Y507" s="89"/>
      <c r="BI507" s="89"/>
      <c r="BJ507" s="305"/>
    </row>
    <row r="508" spans="1:62" s="2" customFormat="1" ht="22.5" hidden="1" customHeight="1" x14ac:dyDescent="0.2">
      <c r="A508" s="404" t="s">
        <v>641</v>
      </c>
      <c r="B508" s="381" t="s">
        <v>572</v>
      </c>
      <c r="C508" s="379" t="s">
        <v>236</v>
      </c>
      <c r="D508" s="262">
        <v>65.17</v>
      </c>
      <c r="E508" s="96">
        <f t="shared" si="23"/>
        <v>13.03</v>
      </c>
      <c r="F508" s="154">
        <f t="shared" si="24"/>
        <v>78.2</v>
      </c>
      <c r="G508" s="412"/>
      <c r="H508" s="253"/>
      <c r="I508" s="34"/>
      <c r="J508" s="253"/>
      <c r="K508" s="308"/>
      <c r="L508" s="253"/>
      <c r="M508" s="253"/>
      <c r="N508" s="253"/>
      <c r="O508" s="253"/>
      <c r="P508" s="253"/>
      <c r="Q508" s="253"/>
      <c r="R508" s="253"/>
      <c r="S508" s="253"/>
      <c r="Y508" s="89"/>
      <c r="BI508" s="89"/>
      <c r="BJ508" s="305"/>
    </row>
    <row r="509" spans="1:62" s="2" customFormat="1" ht="21" hidden="1" customHeight="1" x14ac:dyDescent="0.2">
      <c r="A509" s="404" t="s">
        <v>642</v>
      </c>
      <c r="B509" s="381" t="s">
        <v>643</v>
      </c>
      <c r="C509" s="379" t="s">
        <v>236</v>
      </c>
      <c r="D509" s="262">
        <v>213.31</v>
      </c>
      <c r="E509" s="96">
        <f t="shared" si="23"/>
        <v>42.66</v>
      </c>
      <c r="F509" s="154">
        <f t="shared" si="24"/>
        <v>255.97</v>
      </c>
      <c r="G509" s="412"/>
      <c r="H509" s="253"/>
      <c r="I509" s="34"/>
      <c r="J509" s="253"/>
      <c r="K509" s="308"/>
      <c r="L509" s="253"/>
      <c r="M509" s="253"/>
      <c r="N509" s="253"/>
      <c r="O509" s="253"/>
      <c r="P509" s="253"/>
      <c r="Q509" s="253"/>
      <c r="R509" s="253"/>
      <c r="S509" s="253"/>
      <c r="Y509" s="89"/>
      <c r="BI509" s="89"/>
      <c r="BJ509" s="305"/>
    </row>
    <row r="510" spans="1:62" s="2" customFormat="1" ht="21.75" hidden="1" customHeight="1" x14ac:dyDescent="0.2">
      <c r="A510" s="404" t="s">
        <v>644</v>
      </c>
      <c r="B510" s="381" t="s">
        <v>645</v>
      </c>
      <c r="C510" s="379" t="s">
        <v>236</v>
      </c>
      <c r="D510" s="262">
        <v>37.15</v>
      </c>
      <c r="E510" s="96">
        <f t="shared" si="23"/>
        <v>7.43</v>
      </c>
      <c r="F510" s="154">
        <f t="shared" si="24"/>
        <v>44.58</v>
      </c>
      <c r="G510" s="412"/>
      <c r="H510" s="253"/>
      <c r="I510" s="34"/>
      <c r="J510" s="253"/>
      <c r="K510" s="308"/>
      <c r="L510" s="253"/>
      <c r="M510" s="253"/>
      <c r="N510" s="253"/>
      <c r="O510" s="253"/>
      <c r="P510" s="253"/>
      <c r="Q510" s="253"/>
      <c r="R510" s="253"/>
      <c r="S510" s="253"/>
      <c r="Y510" s="89"/>
      <c r="BI510" s="89"/>
      <c r="BJ510" s="305"/>
    </row>
    <row r="511" spans="1:62" s="2" customFormat="1" ht="33.75" hidden="1" customHeight="1" x14ac:dyDescent="0.2">
      <c r="A511" s="404" t="s">
        <v>646</v>
      </c>
      <c r="B511" s="381" t="s">
        <v>647</v>
      </c>
      <c r="C511" s="379" t="s">
        <v>236</v>
      </c>
      <c r="D511" s="262">
        <v>132.54</v>
      </c>
      <c r="E511" s="96">
        <f t="shared" si="23"/>
        <v>26.51</v>
      </c>
      <c r="F511" s="154">
        <f>D511+E511</f>
        <v>159.05000000000001</v>
      </c>
      <c r="G511" s="412"/>
      <c r="H511" s="253"/>
      <c r="I511" s="34"/>
      <c r="J511" s="253"/>
      <c r="K511" s="308"/>
      <c r="L511" s="253"/>
      <c r="M511" s="253"/>
      <c r="N511" s="253"/>
      <c r="O511" s="253"/>
      <c r="P511" s="253"/>
      <c r="Q511" s="253"/>
      <c r="R511" s="253"/>
      <c r="S511" s="253"/>
      <c r="Y511" s="89"/>
      <c r="BI511" s="89"/>
      <c r="BJ511" s="305"/>
    </row>
    <row r="512" spans="1:62" s="2" customFormat="1" ht="33.75" hidden="1" customHeight="1" x14ac:dyDescent="0.2">
      <c r="A512" s="404" t="s">
        <v>648</v>
      </c>
      <c r="B512" s="381" t="s">
        <v>649</v>
      </c>
      <c r="C512" s="379" t="s">
        <v>236</v>
      </c>
      <c r="D512" s="262">
        <v>130.71</v>
      </c>
      <c r="E512" s="96">
        <f t="shared" si="23"/>
        <v>26.14</v>
      </c>
      <c r="F512" s="154">
        <f t="shared" si="24"/>
        <v>156.85</v>
      </c>
      <c r="G512" s="412"/>
      <c r="H512" s="253"/>
      <c r="I512" s="34"/>
      <c r="J512" s="253"/>
      <c r="K512" s="308"/>
      <c r="L512" s="253"/>
      <c r="M512" s="253"/>
      <c r="N512" s="253"/>
      <c r="O512" s="253"/>
      <c r="P512" s="253"/>
      <c r="Q512" s="253"/>
      <c r="R512" s="253"/>
      <c r="S512" s="253"/>
      <c r="Y512" s="89"/>
      <c r="BI512" s="89"/>
      <c r="BJ512" s="305"/>
    </row>
    <row r="513" spans="1:62" s="2" customFormat="1" ht="20.25" hidden="1" customHeight="1" x14ac:dyDescent="0.2">
      <c r="A513" s="108" t="s">
        <v>35</v>
      </c>
      <c r="B513" s="429" t="s">
        <v>650</v>
      </c>
      <c r="C513" s="429"/>
      <c r="D513" s="429"/>
      <c r="E513" s="429"/>
      <c r="F513" s="429"/>
      <c r="G513" s="412"/>
      <c r="H513" s="253"/>
      <c r="I513" s="34"/>
      <c r="J513" s="253"/>
      <c r="K513" s="308"/>
      <c r="L513" s="253"/>
      <c r="M513" s="253"/>
      <c r="N513" s="253"/>
      <c r="O513" s="253"/>
      <c r="P513" s="253"/>
      <c r="Q513" s="253"/>
      <c r="R513" s="253"/>
      <c r="S513" s="253"/>
      <c r="Y513" s="89"/>
      <c r="BI513" s="89"/>
      <c r="BJ513" s="305"/>
    </row>
    <row r="514" spans="1:62" s="2" customFormat="1" ht="46.5" hidden="1" customHeight="1" x14ac:dyDescent="0.2">
      <c r="A514" s="404" t="s">
        <v>259</v>
      </c>
      <c r="B514" s="397" t="s">
        <v>564</v>
      </c>
      <c r="C514" s="379" t="s">
        <v>236</v>
      </c>
      <c r="D514" s="262">
        <v>76.150000000000006</v>
      </c>
      <c r="E514" s="96">
        <f>D514*20%</f>
        <v>15.23</v>
      </c>
      <c r="F514" s="154">
        <f>D514+E514</f>
        <v>91.38</v>
      </c>
      <c r="G514" s="412"/>
      <c r="H514" s="253"/>
      <c r="I514" s="34"/>
      <c r="J514" s="253"/>
      <c r="K514" s="308"/>
      <c r="L514" s="253"/>
      <c r="M514" s="253"/>
      <c r="N514" s="253"/>
      <c r="O514" s="253"/>
      <c r="P514" s="253"/>
      <c r="Q514" s="253"/>
      <c r="R514" s="253"/>
      <c r="S514" s="253"/>
      <c r="Y514" s="89"/>
      <c r="BI514" s="89"/>
      <c r="BJ514" s="305"/>
    </row>
    <row r="515" spans="1:62" s="2" customFormat="1" ht="19.5" hidden="1" customHeight="1" x14ac:dyDescent="0.2">
      <c r="A515" s="404"/>
      <c r="B515" s="430" t="s">
        <v>529</v>
      </c>
      <c r="C515" s="430"/>
      <c r="D515" s="430"/>
      <c r="E515" s="430"/>
      <c r="F515" s="430"/>
      <c r="G515" s="412"/>
      <c r="H515" s="253"/>
      <c r="I515" s="34"/>
      <c r="J515" s="253"/>
      <c r="K515" s="308"/>
      <c r="L515" s="253"/>
      <c r="M515" s="253"/>
      <c r="N515" s="253"/>
      <c r="O515" s="253"/>
      <c r="P515" s="253"/>
      <c r="Q515" s="253"/>
      <c r="R515" s="253"/>
      <c r="S515" s="253"/>
      <c r="Y515" s="89"/>
      <c r="BI515" s="89"/>
      <c r="BJ515" s="305"/>
    </row>
    <row r="516" spans="1:62" s="2" customFormat="1" ht="18.75" hidden="1" customHeight="1" x14ac:dyDescent="0.2">
      <c r="A516" s="404" t="s">
        <v>261</v>
      </c>
      <c r="B516" s="381" t="s">
        <v>651</v>
      </c>
      <c r="C516" s="379" t="s">
        <v>236</v>
      </c>
      <c r="D516" s="262">
        <v>58.22</v>
      </c>
      <c r="E516" s="96">
        <f t="shared" ref="E516:E530" si="25">D516*20%</f>
        <v>11.64</v>
      </c>
      <c r="F516" s="154">
        <f t="shared" ref="F516:F530" si="26">D516+E516</f>
        <v>69.86</v>
      </c>
      <c r="G516" s="412"/>
      <c r="H516" s="253"/>
      <c r="I516" s="34"/>
      <c r="J516" s="253"/>
      <c r="K516" s="308"/>
      <c r="L516" s="253"/>
      <c r="M516" s="253"/>
      <c r="N516" s="253"/>
      <c r="O516" s="253"/>
      <c r="P516" s="253"/>
      <c r="Q516" s="253"/>
      <c r="R516" s="253"/>
      <c r="S516" s="253"/>
      <c r="Y516" s="89"/>
      <c r="BI516" s="89"/>
      <c r="BJ516" s="305"/>
    </row>
    <row r="517" spans="1:62" s="2" customFormat="1" ht="21.75" hidden="1" customHeight="1" x14ac:dyDescent="0.2">
      <c r="A517" s="404" t="s">
        <v>652</v>
      </c>
      <c r="B517" s="381" t="s">
        <v>543</v>
      </c>
      <c r="C517" s="379" t="s">
        <v>236</v>
      </c>
      <c r="D517" s="262">
        <v>55.34</v>
      </c>
      <c r="E517" s="96">
        <f t="shared" si="25"/>
        <v>11.07</v>
      </c>
      <c r="F517" s="154">
        <f t="shared" si="26"/>
        <v>66.41</v>
      </c>
      <c r="G517" s="412"/>
      <c r="H517" s="253"/>
      <c r="I517" s="34"/>
      <c r="J517" s="253"/>
      <c r="K517" s="308"/>
      <c r="L517" s="253"/>
      <c r="M517" s="253"/>
      <c r="N517" s="253"/>
      <c r="O517" s="253"/>
      <c r="P517" s="253"/>
      <c r="Q517" s="253"/>
      <c r="R517" s="253"/>
      <c r="S517" s="253"/>
      <c r="Y517" s="89"/>
      <c r="BI517" s="89"/>
      <c r="BJ517" s="305"/>
    </row>
    <row r="518" spans="1:62" s="2" customFormat="1" ht="21" hidden="1" customHeight="1" x14ac:dyDescent="0.2">
      <c r="A518" s="404" t="s">
        <v>653</v>
      </c>
      <c r="B518" s="381" t="s">
        <v>654</v>
      </c>
      <c r="C518" s="379" t="s">
        <v>236</v>
      </c>
      <c r="D518" s="262">
        <v>61.45</v>
      </c>
      <c r="E518" s="96">
        <f t="shared" si="25"/>
        <v>12.29</v>
      </c>
      <c r="F518" s="154">
        <f t="shared" si="26"/>
        <v>73.739999999999995</v>
      </c>
      <c r="G518" s="412"/>
      <c r="H518" s="253"/>
      <c r="I518" s="34"/>
      <c r="J518" s="253"/>
      <c r="K518" s="308"/>
      <c r="L518" s="253"/>
      <c r="M518" s="253"/>
      <c r="N518" s="253"/>
      <c r="O518" s="253"/>
      <c r="P518" s="253"/>
      <c r="Q518" s="253"/>
      <c r="R518" s="253"/>
      <c r="S518" s="253"/>
      <c r="Y518" s="89"/>
      <c r="BI518" s="89"/>
      <c r="BJ518" s="305"/>
    </row>
    <row r="519" spans="1:62" s="2" customFormat="1" ht="34.5" hidden="1" customHeight="1" x14ac:dyDescent="0.2">
      <c r="A519" s="404" t="s">
        <v>655</v>
      </c>
      <c r="B519" s="381" t="s">
        <v>656</v>
      </c>
      <c r="C519" s="379" t="s">
        <v>236</v>
      </c>
      <c r="D519" s="262">
        <v>104.43</v>
      </c>
      <c r="E519" s="96">
        <f t="shared" si="25"/>
        <v>20.89</v>
      </c>
      <c r="F519" s="154">
        <f t="shared" si="26"/>
        <v>125.32</v>
      </c>
      <c r="G519" s="412"/>
      <c r="H519" s="253"/>
      <c r="I519" s="34"/>
      <c r="J519" s="253"/>
      <c r="K519" s="308"/>
      <c r="L519" s="253"/>
      <c r="M519" s="253"/>
      <c r="N519" s="253"/>
      <c r="O519" s="253"/>
      <c r="P519" s="253"/>
      <c r="Q519" s="253"/>
      <c r="R519" s="253"/>
      <c r="S519" s="253"/>
      <c r="Y519" s="89"/>
      <c r="BI519" s="89"/>
      <c r="BJ519" s="305"/>
    </row>
    <row r="520" spans="1:62" s="2" customFormat="1" ht="21.75" hidden="1" customHeight="1" x14ac:dyDescent="0.2">
      <c r="A520" s="404" t="s">
        <v>657</v>
      </c>
      <c r="B520" s="381" t="s">
        <v>658</v>
      </c>
      <c r="C520" s="379" t="s">
        <v>236</v>
      </c>
      <c r="D520" s="262">
        <v>73.260000000000005</v>
      </c>
      <c r="E520" s="96">
        <f t="shared" si="25"/>
        <v>14.65</v>
      </c>
      <c r="F520" s="154">
        <f>D520+E520</f>
        <v>87.91</v>
      </c>
      <c r="G520" s="412"/>
      <c r="H520" s="253"/>
      <c r="I520" s="34"/>
      <c r="J520" s="253"/>
      <c r="K520" s="308"/>
      <c r="L520" s="253"/>
      <c r="M520" s="253"/>
      <c r="N520" s="253"/>
      <c r="O520" s="253"/>
      <c r="P520" s="253"/>
      <c r="Q520" s="253"/>
      <c r="R520" s="253"/>
      <c r="S520" s="253"/>
      <c r="Y520" s="89"/>
      <c r="BI520" s="89"/>
      <c r="BJ520" s="305"/>
    </row>
    <row r="521" spans="1:62" s="2" customFormat="1" ht="31.5" hidden="1" customHeight="1" x14ac:dyDescent="0.2">
      <c r="A521" s="404" t="s">
        <v>659</v>
      </c>
      <c r="B521" s="381" t="s">
        <v>660</v>
      </c>
      <c r="C521" s="379" t="s">
        <v>236</v>
      </c>
      <c r="D521" s="262">
        <v>80.77</v>
      </c>
      <c r="E521" s="96">
        <f t="shared" si="25"/>
        <v>16.149999999999999</v>
      </c>
      <c r="F521" s="154">
        <f>D521+E521</f>
        <v>96.92</v>
      </c>
      <c r="G521" s="412"/>
      <c r="H521" s="253"/>
      <c r="I521" s="34"/>
      <c r="J521" s="253"/>
      <c r="K521" s="308"/>
      <c r="L521" s="253"/>
      <c r="M521" s="253"/>
      <c r="N521" s="253"/>
      <c r="O521" s="253"/>
      <c r="P521" s="253"/>
      <c r="Q521" s="253"/>
      <c r="R521" s="253"/>
      <c r="S521" s="253"/>
      <c r="Y521" s="89"/>
      <c r="BI521" s="89"/>
      <c r="BJ521" s="305"/>
    </row>
    <row r="522" spans="1:62" s="2" customFormat="1" ht="19.5" hidden="1" customHeight="1" x14ac:dyDescent="0.2">
      <c r="A522" s="404" t="s">
        <v>661</v>
      </c>
      <c r="B522" s="381" t="s">
        <v>662</v>
      </c>
      <c r="C522" s="379" t="s">
        <v>236</v>
      </c>
      <c r="D522" s="262">
        <v>75.11</v>
      </c>
      <c r="E522" s="96">
        <f t="shared" si="25"/>
        <v>15.02</v>
      </c>
      <c r="F522" s="154">
        <f t="shared" si="26"/>
        <v>90.13</v>
      </c>
      <c r="G522" s="412"/>
      <c r="H522" s="253"/>
      <c r="I522" s="34"/>
      <c r="J522" s="253"/>
      <c r="K522" s="308"/>
      <c r="L522" s="253"/>
      <c r="M522" s="253"/>
      <c r="N522" s="253"/>
      <c r="O522" s="253"/>
      <c r="P522" s="253"/>
      <c r="Q522" s="253"/>
      <c r="R522" s="253"/>
      <c r="S522" s="253"/>
      <c r="Y522" s="89"/>
      <c r="BI522" s="89"/>
      <c r="BJ522" s="305"/>
    </row>
    <row r="523" spans="1:62" s="2" customFormat="1" ht="36.75" hidden="1" customHeight="1" x14ac:dyDescent="0.2">
      <c r="A523" s="404" t="s">
        <v>663</v>
      </c>
      <c r="B523" s="381" t="s">
        <v>664</v>
      </c>
      <c r="C523" s="379" t="s">
        <v>236</v>
      </c>
      <c r="D523" s="262">
        <v>222.14</v>
      </c>
      <c r="E523" s="96">
        <f t="shared" si="25"/>
        <v>44.43</v>
      </c>
      <c r="F523" s="154">
        <f t="shared" si="26"/>
        <v>266.57</v>
      </c>
      <c r="G523" s="412"/>
      <c r="H523" s="253"/>
      <c r="I523" s="34"/>
      <c r="J523" s="253"/>
      <c r="K523" s="308"/>
      <c r="L523" s="253"/>
      <c r="M523" s="253"/>
      <c r="N523" s="253"/>
      <c r="O523" s="253"/>
      <c r="P523" s="253"/>
      <c r="Q523" s="253"/>
      <c r="R523" s="253"/>
      <c r="S523" s="253"/>
      <c r="Y523" s="89"/>
      <c r="BI523" s="89"/>
      <c r="BJ523" s="305"/>
    </row>
    <row r="524" spans="1:62" s="2" customFormat="1" ht="30" hidden="1" customHeight="1" x14ac:dyDescent="0.2">
      <c r="A524" s="404" t="s">
        <v>665</v>
      </c>
      <c r="B524" s="381" t="s">
        <v>666</v>
      </c>
      <c r="C524" s="379" t="s">
        <v>236</v>
      </c>
      <c r="D524" s="262">
        <v>65.069999999999993</v>
      </c>
      <c r="E524" s="96">
        <f t="shared" si="25"/>
        <v>13.01</v>
      </c>
      <c r="F524" s="154">
        <f t="shared" si="26"/>
        <v>78.08</v>
      </c>
      <c r="G524" s="412"/>
      <c r="H524" s="253"/>
      <c r="I524" s="34"/>
      <c r="J524" s="253"/>
      <c r="K524" s="308"/>
      <c r="L524" s="253"/>
      <c r="M524" s="253"/>
      <c r="N524" s="253"/>
      <c r="O524" s="253"/>
      <c r="P524" s="253"/>
      <c r="Q524" s="253"/>
      <c r="R524" s="253"/>
      <c r="S524" s="253"/>
      <c r="Y524" s="89"/>
      <c r="BI524" s="89"/>
      <c r="BJ524" s="305"/>
    </row>
    <row r="525" spans="1:62" s="2" customFormat="1" ht="24" hidden="1" customHeight="1" x14ac:dyDescent="0.2">
      <c r="A525" s="404" t="s">
        <v>667</v>
      </c>
      <c r="B525" s="381" t="s">
        <v>668</v>
      </c>
      <c r="C525" s="379" t="s">
        <v>236</v>
      </c>
      <c r="D525" s="262">
        <v>52.84</v>
      </c>
      <c r="E525" s="96">
        <f t="shared" si="25"/>
        <v>10.57</v>
      </c>
      <c r="F525" s="154">
        <f t="shared" si="26"/>
        <v>63.41</v>
      </c>
      <c r="G525" s="412"/>
      <c r="H525" s="253"/>
      <c r="I525" s="34"/>
      <c r="J525" s="253"/>
      <c r="K525" s="308"/>
      <c r="L525" s="253"/>
      <c r="M525" s="253"/>
      <c r="N525" s="253"/>
      <c r="O525" s="253"/>
      <c r="P525" s="253"/>
      <c r="Q525" s="253"/>
      <c r="R525" s="253"/>
      <c r="S525" s="253"/>
      <c r="Y525" s="89"/>
      <c r="BI525" s="89"/>
      <c r="BJ525" s="305"/>
    </row>
    <row r="526" spans="1:62" s="2" customFormat="1" ht="32.25" hidden="1" customHeight="1" x14ac:dyDescent="0.2">
      <c r="A526" s="404" t="s">
        <v>669</v>
      </c>
      <c r="B526" s="381" t="s">
        <v>670</v>
      </c>
      <c r="C526" s="379" t="s">
        <v>236</v>
      </c>
      <c r="D526" s="262">
        <v>63.04</v>
      </c>
      <c r="E526" s="96">
        <f t="shared" si="25"/>
        <v>12.61</v>
      </c>
      <c r="F526" s="154">
        <f t="shared" si="26"/>
        <v>75.650000000000006</v>
      </c>
      <c r="G526" s="412"/>
      <c r="H526" s="253"/>
      <c r="I526" s="34"/>
      <c r="J526" s="253"/>
      <c r="K526" s="308"/>
      <c r="L526" s="253"/>
      <c r="M526" s="253"/>
      <c r="N526" s="253"/>
      <c r="O526" s="253"/>
      <c r="P526" s="253"/>
      <c r="Q526" s="253"/>
      <c r="R526" s="253"/>
      <c r="S526" s="253"/>
      <c r="Y526" s="89"/>
      <c r="BI526" s="89"/>
      <c r="BJ526" s="305"/>
    </row>
    <row r="527" spans="1:62" s="2" customFormat="1" ht="18.75" hidden="1" customHeight="1" x14ac:dyDescent="0.2">
      <c r="A527" s="404" t="s">
        <v>671</v>
      </c>
      <c r="B527" s="381" t="s">
        <v>645</v>
      </c>
      <c r="C527" s="379" t="s">
        <v>236</v>
      </c>
      <c r="D527" s="262">
        <v>65.06</v>
      </c>
      <c r="E527" s="96">
        <f t="shared" si="25"/>
        <v>13.01</v>
      </c>
      <c r="F527" s="154">
        <f t="shared" si="26"/>
        <v>78.069999999999993</v>
      </c>
      <c r="G527" s="412"/>
      <c r="H527" s="253"/>
      <c r="I527" s="34"/>
      <c r="J527" s="253"/>
      <c r="K527" s="308"/>
      <c r="L527" s="253"/>
      <c r="M527" s="253"/>
      <c r="N527" s="253"/>
      <c r="O527" s="253"/>
      <c r="P527" s="253"/>
      <c r="Q527" s="253"/>
      <c r="R527" s="253"/>
      <c r="S527" s="253"/>
      <c r="Y527" s="89"/>
      <c r="BI527" s="89"/>
      <c r="BJ527" s="305"/>
    </row>
    <row r="528" spans="1:62" s="2" customFormat="1" ht="30" hidden="1" customHeight="1" x14ac:dyDescent="0.2">
      <c r="A528" s="404" t="s">
        <v>672</v>
      </c>
      <c r="B528" s="381" t="s">
        <v>673</v>
      </c>
      <c r="C528" s="379" t="s">
        <v>236</v>
      </c>
      <c r="D528" s="262">
        <v>57.75</v>
      </c>
      <c r="E528" s="96">
        <f t="shared" si="25"/>
        <v>11.55</v>
      </c>
      <c r="F528" s="154">
        <f t="shared" si="26"/>
        <v>69.3</v>
      </c>
      <c r="G528" s="412"/>
      <c r="H528" s="253"/>
      <c r="I528" s="34"/>
      <c r="J528" s="253"/>
      <c r="K528" s="308"/>
      <c r="L528" s="253"/>
      <c r="M528" s="253"/>
      <c r="N528" s="253"/>
      <c r="O528" s="253"/>
      <c r="P528" s="253"/>
      <c r="Q528" s="253"/>
      <c r="R528" s="253"/>
      <c r="S528" s="253"/>
      <c r="Y528" s="89"/>
      <c r="BI528" s="89"/>
      <c r="BJ528" s="305"/>
    </row>
    <row r="529" spans="1:62" s="2" customFormat="1" ht="30" hidden="1" customHeight="1" x14ac:dyDescent="0.2">
      <c r="A529" s="404" t="s">
        <v>674</v>
      </c>
      <c r="B529" s="381" t="s">
        <v>675</v>
      </c>
      <c r="C529" s="379" t="s">
        <v>236</v>
      </c>
      <c r="D529" s="262">
        <v>167.23</v>
      </c>
      <c r="E529" s="96">
        <f t="shared" si="25"/>
        <v>33.450000000000003</v>
      </c>
      <c r="F529" s="154">
        <f t="shared" si="26"/>
        <v>200.68</v>
      </c>
      <c r="G529" s="412"/>
      <c r="H529" s="253"/>
      <c r="I529" s="34"/>
      <c r="J529" s="253"/>
      <c r="K529" s="308"/>
      <c r="L529" s="253"/>
      <c r="M529" s="253"/>
      <c r="N529" s="253"/>
      <c r="O529" s="253"/>
      <c r="P529" s="253"/>
      <c r="Q529" s="253"/>
      <c r="R529" s="253"/>
      <c r="S529" s="253"/>
      <c r="Y529" s="89"/>
      <c r="BI529" s="89"/>
      <c r="BJ529" s="305"/>
    </row>
    <row r="530" spans="1:62" s="2" customFormat="1" ht="33" hidden="1" customHeight="1" x14ac:dyDescent="0.2">
      <c r="A530" s="404" t="s">
        <v>676</v>
      </c>
      <c r="B530" s="381" t="s">
        <v>677</v>
      </c>
      <c r="C530" s="379" t="s">
        <v>236</v>
      </c>
      <c r="D530" s="262">
        <v>57.78</v>
      </c>
      <c r="E530" s="96">
        <f t="shared" si="25"/>
        <v>11.56</v>
      </c>
      <c r="F530" s="154">
        <f t="shared" si="26"/>
        <v>69.34</v>
      </c>
      <c r="G530" s="412"/>
      <c r="H530" s="253"/>
      <c r="I530" s="34"/>
      <c r="J530" s="253"/>
      <c r="K530" s="308"/>
      <c r="L530" s="253"/>
      <c r="M530" s="253"/>
      <c r="N530" s="253"/>
      <c r="O530" s="253"/>
      <c r="P530" s="253"/>
      <c r="Q530" s="253"/>
      <c r="R530" s="253"/>
      <c r="S530" s="253"/>
      <c r="Y530" s="89"/>
      <c r="BI530" s="89"/>
      <c r="BJ530" s="305"/>
    </row>
    <row r="531" spans="1:62" s="2" customFormat="1" ht="18.75" hidden="1" customHeight="1" x14ac:dyDescent="0.2">
      <c r="A531" s="380" t="s">
        <v>37</v>
      </c>
      <c r="B531" s="429" t="s">
        <v>678</v>
      </c>
      <c r="C531" s="429"/>
      <c r="D531" s="429"/>
      <c r="E531" s="429"/>
      <c r="F531" s="429"/>
      <c r="G531" s="412"/>
      <c r="H531" s="253"/>
      <c r="I531" s="34"/>
      <c r="J531" s="253"/>
      <c r="K531" s="308"/>
      <c r="L531" s="253"/>
      <c r="M531" s="253"/>
      <c r="N531" s="253"/>
      <c r="O531" s="253"/>
      <c r="P531" s="253"/>
      <c r="Q531" s="253"/>
      <c r="R531" s="253"/>
      <c r="S531" s="253"/>
      <c r="Y531" s="89"/>
      <c r="BI531" s="89"/>
      <c r="BJ531" s="305"/>
    </row>
    <row r="532" spans="1:62" s="2" customFormat="1" ht="46.5" hidden="1" customHeight="1" x14ac:dyDescent="0.2">
      <c r="A532" s="404" t="s">
        <v>679</v>
      </c>
      <c r="B532" s="397" t="s">
        <v>564</v>
      </c>
      <c r="C532" s="379" t="s">
        <v>236</v>
      </c>
      <c r="D532" s="262">
        <v>76.150000000000006</v>
      </c>
      <c r="E532" s="96">
        <f>D532*20%</f>
        <v>15.23</v>
      </c>
      <c r="F532" s="154">
        <f>D532+E532</f>
        <v>91.38</v>
      </c>
      <c r="G532" s="412"/>
      <c r="H532" s="253"/>
      <c r="I532" s="34"/>
      <c r="J532" s="253"/>
      <c r="K532" s="308"/>
      <c r="L532" s="253"/>
      <c r="M532" s="253"/>
      <c r="N532" s="253"/>
      <c r="O532" s="253"/>
      <c r="P532" s="253"/>
      <c r="Q532" s="253"/>
      <c r="R532" s="253"/>
      <c r="S532" s="253"/>
      <c r="Y532" s="89"/>
      <c r="BI532" s="89"/>
      <c r="BJ532" s="305"/>
    </row>
    <row r="533" spans="1:62" s="2" customFormat="1" ht="21.75" hidden="1" customHeight="1" x14ac:dyDescent="0.2">
      <c r="A533" s="404"/>
      <c r="B533" s="430" t="s">
        <v>529</v>
      </c>
      <c r="C533" s="430"/>
      <c r="D533" s="430"/>
      <c r="E533" s="430"/>
      <c r="F533" s="430"/>
      <c r="G533" s="412"/>
      <c r="H533" s="253"/>
      <c r="I533" s="34"/>
      <c r="J533" s="253"/>
      <c r="K533" s="308"/>
      <c r="L533" s="253"/>
      <c r="M533" s="253"/>
      <c r="N533" s="253"/>
      <c r="O533" s="253"/>
      <c r="P533" s="253"/>
      <c r="Q533" s="253"/>
      <c r="R533" s="253"/>
      <c r="S533" s="253"/>
      <c r="Y533" s="89"/>
      <c r="BI533" s="89"/>
      <c r="BJ533" s="305"/>
    </row>
    <row r="534" spans="1:62" s="2" customFormat="1" ht="19.5" hidden="1" customHeight="1" x14ac:dyDescent="0.2">
      <c r="A534" s="404" t="s">
        <v>680</v>
      </c>
      <c r="B534" s="381" t="s">
        <v>681</v>
      </c>
      <c r="C534" s="379" t="s">
        <v>236</v>
      </c>
      <c r="D534" s="262">
        <v>53.47</v>
      </c>
      <c r="E534" s="96">
        <f t="shared" ref="E534:E545" si="27">D534*20%</f>
        <v>10.69</v>
      </c>
      <c r="F534" s="154">
        <f t="shared" ref="F534:F545" si="28">D534+E534</f>
        <v>64.16</v>
      </c>
      <c r="G534" s="412"/>
      <c r="H534" s="253"/>
      <c r="I534" s="34"/>
      <c r="J534" s="253"/>
      <c r="K534" s="308"/>
      <c r="L534" s="253"/>
      <c r="M534" s="253"/>
      <c r="N534" s="253"/>
      <c r="O534" s="253"/>
      <c r="P534" s="253"/>
      <c r="Q534" s="253"/>
      <c r="R534" s="253"/>
      <c r="S534" s="253"/>
      <c r="Y534" s="89"/>
      <c r="BI534" s="89"/>
      <c r="BJ534" s="305"/>
    </row>
    <row r="535" spans="1:62" s="2" customFormat="1" ht="20.25" hidden="1" customHeight="1" x14ac:dyDescent="0.2">
      <c r="A535" s="404" t="s">
        <v>682</v>
      </c>
      <c r="B535" s="381" t="s">
        <v>683</v>
      </c>
      <c r="C535" s="379" t="s">
        <v>236</v>
      </c>
      <c r="D535" s="262">
        <v>63.21</v>
      </c>
      <c r="E535" s="96">
        <f t="shared" si="27"/>
        <v>12.64</v>
      </c>
      <c r="F535" s="154">
        <f t="shared" si="28"/>
        <v>75.849999999999994</v>
      </c>
      <c r="G535" s="412"/>
      <c r="H535" s="253"/>
      <c r="I535" s="34"/>
      <c r="J535" s="253"/>
      <c r="K535" s="308"/>
      <c r="L535" s="253"/>
      <c r="M535" s="253"/>
      <c r="N535" s="253"/>
      <c r="O535" s="253"/>
      <c r="P535" s="253"/>
      <c r="Q535" s="253"/>
      <c r="R535" s="253"/>
      <c r="S535" s="253"/>
      <c r="Y535" s="89"/>
      <c r="BI535" s="89"/>
      <c r="BJ535" s="305"/>
    </row>
    <row r="536" spans="1:62" s="2" customFormat="1" ht="19.5" hidden="1" customHeight="1" x14ac:dyDescent="0.2">
      <c r="A536" s="404" t="s">
        <v>684</v>
      </c>
      <c r="B536" s="381" t="s">
        <v>685</v>
      </c>
      <c r="C536" s="379" t="s">
        <v>236</v>
      </c>
      <c r="D536" s="262">
        <v>249.6</v>
      </c>
      <c r="E536" s="96">
        <f t="shared" si="27"/>
        <v>49.92</v>
      </c>
      <c r="F536" s="154">
        <f t="shared" si="28"/>
        <v>299.52</v>
      </c>
      <c r="G536" s="412"/>
      <c r="H536" s="253"/>
      <c r="I536" s="34"/>
      <c r="J536" s="253"/>
      <c r="K536" s="308"/>
      <c r="L536" s="253"/>
      <c r="M536" s="253"/>
      <c r="N536" s="253"/>
      <c r="O536" s="253"/>
      <c r="P536" s="253"/>
      <c r="Q536" s="253"/>
      <c r="R536" s="253"/>
      <c r="S536" s="253"/>
      <c r="Y536" s="89"/>
      <c r="BI536" s="89"/>
      <c r="BJ536" s="305"/>
    </row>
    <row r="537" spans="1:62" s="2" customFormat="1" ht="30" hidden="1" customHeight="1" x14ac:dyDescent="0.2">
      <c r="A537" s="404" t="s">
        <v>686</v>
      </c>
      <c r="B537" s="381" t="s">
        <v>687</v>
      </c>
      <c r="C537" s="379" t="s">
        <v>236</v>
      </c>
      <c r="D537" s="262">
        <v>76.34</v>
      </c>
      <c r="E537" s="96">
        <f t="shared" si="27"/>
        <v>15.27</v>
      </c>
      <c r="F537" s="154">
        <f t="shared" si="28"/>
        <v>91.61</v>
      </c>
      <c r="G537" s="412"/>
      <c r="H537" s="253"/>
      <c r="I537" s="34"/>
      <c r="J537" s="253"/>
      <c r="K537" s="308"/>
      <c r="L537" s="253"/>
      <c r="M537" s="253"/>
      <c r="N537" s="253"/>
      <c r="O537" s="253"/>
      <c r="P537" s="253"/>
      <c r="Q537" s="253"/>
      <c r="R537" s="253"/>
      <c r="S537" s="253"/>
      <c r="Y537" s="89"/>
      <c r="BI537" s="89"/>
      <c r="BJ537" s="305"/>
    </row>
    <row r="538" spans="1:62" s="2" customFormat="1" ht="18.75" hidden="1" customHeight="1" x14ac:dyDescent="0.2">
      <c r="A538" s="404" t="s">
        <v>688</v>
      </c>
      <c r="B538" s="381" t="s">
        <v>689</v>
      </c>
      <c r="C538" s="379" t="s">
        <v>236</v>
      </c>
      <c r="D538" s="262">
        <v>21.23</v>
      </c>
      <c r="E538" s="96">
        <f t="shared" si="27"/>
        <v>4.25</v>
      </c>
      <c r="F538" s="154">
        <f t="shared" si="28"/>
        <v>25.48</v>
      </c>
      <c r="G538" s="412"/>
      <c r="H538" s="253"/>
      <c r="I538" s="34"/>
      <c r="J538" s="253"/>
      <c r="K538" s="308"/>
      <c r="L538" s="253"/>
      <c r="M538" s="253"/>
      <c r="N538" s="253"/>
      <c r="O538" s="253"/>
      <c r="P538" s="253"/>
      <c r="Q538" s="253"/>
      <c r="R538" s="253"/>
      <c r="S538" s="253"/>
      <c r="Y538" s="89"/>
      <c r="BI538" s="89"/>
      <c r="BJ538" s="305"/>
    </row>
    <row r="539" spans="1:62" s="2" customFormat="1" ht="30" hidden="1" customHeight="1" x14ac:dyDescent="0.2">
      <c r="A539" s="404" t="s">
        <v>690</v>
      </c>
      <c r="B539" s="381" t="s">
        <v>691</v>
      </c>
      <c r="C539" s="379" t="s">
        <v>236</v>
      </c>
      <c r="D539" s="262">
        <v>21.23</v>
      </c>
      <c r="E539" s="96">
        <f t="shared" si="27"/>
        <v>4.25</v>
      </c>
      <c r="F539" s="154">
        <f t="shared" si="28"/>
        <v>25.48</v>
      </c>
      <c r="G539" s="412"/>
      <c r="H539" s="253"/>
      <c r="I539" s="34"/>
      <c r="J539" s="253"/>
      <c r="K539" s="308"/>
      <c r="L539" s="253"/>
      <c r="M539" s="253"/>
      <c r="N539" s="253"/>
      <c r="O539" s="253"/>
      <c r="P539" s="253"/>
      <c r="Q539" s="253"/>
      <c r="R539" s="253"/>
      <c r="S539" s="253"/>
      <c r="Y539" s="89"/>
      <c r="BI539" s="89"/>
      <c r="BJ539" s="305"/>
    </row>
    <row r="540" spans="1:62" s="2" customFormat="1" ht="21" hidden="1" customHeight="1" x14ac:dyDescent="0.2">
      <c r="A540" s="404" t="s">
        <v>692</v>
      </c>
      <c r="B540" s="381" t="s">
        <v>693</v>
      </c>
      <c r="C540" s="379" t="s">
        <v>236</v>
      </c>
      <c r="D540" s="262">
        <v>92.74</v>
      </c>
      <c r="E540" s="96">
        <f t="shared" si="27"/>
        <v>18.55</v>
      </c>
      <c r="F540" s="154">
        <f t="shared" si="28"/>
        <v>111.29</v>
      </c>
      <c r="G540" s="412"/>
      <c r="H540" s="253"/>
      <c r="I540" s="34"/>
      <c r="J540" s="253"/>
      <c r="K540" s="308"/>
      <c r="L540" s="253"/>
      <c r="M540" s="253"/>
      <c r="N540" s="253"/>
      <c r="O540" s="253"/>
      <c r="P540" s="253"/>
      <c r="Q540" s="253"/>
      <c r="R540" s="253"/>
      <c r="S540" s="253"/>
      <c r="Y540" s="89"/>
      <c r="BI540" s="89"/>
      <c r="BJ540" s="305"/>
    </row>
    <row r="541" spans="1:62" s="2" customFormat="1" ht="35.25" hidden="1" customHeight="1" x14ac:dyDescent="0.2">
      <c r="A541" s="404" t="s">
        <v>694</v>
      </c>
      <c r="B541" s="381" t="s">
        <v>695</v>
      </c>
      <c r="C541" s="379" t="s">
        <v>236</v>
      </c>
      <c r="D541" s="262">
        <v>243.43</v>
      </c>
      <c r="E541" s="96">
        <f t="shared" si="27"/>
        <v>48.69</v>
      </c>
      <c r="F541" s="154">
        <f t="shared" si="28"/>
        <v>292.12</v>
      </c>
      <c r="G541" s="412"/>
      <c r="H541" s="253"/>
      <c r="I541" s="34"/>
      <c r="J541" s="253"/>
      <c r="K541" s="308"/>
      <c r="L541" s="253"/>
      <c r="M541" s="253"/>
      <c r="N541" s="253"/>
      <c r="O541" s="253"/>
      <c r="P541" s="253"/>
      <c r="Q541" s="253"/>
      <c r="R541" s="253"/>
      <c r="S541" s="253"/>
      <c r="Y541" s="89"/>
      <c r="BI541" s="89"/>
      <c r="BJ541" s="305"/>
    </row>
    <row r="542" spans="1:62" s="2" customFormat="1" ht="30" hidden="1" customHeight="1" x14ac:dyDescent="0.2">
      <c r="A542" s="404" t="s">
        <v>696</v>
      </c>
      <c r="B542" s="381" t="s">
        <v>697</v>
      </c>
      <c r="C542" s="379" t="s">
        <v>236</v>
      </c>
      <c r="D542" s="262">
        <v>100.88</v>
      </c>
      <c r="E542" s="96">
        <f t="shared" si="27"/>
        <v>20.18</v>
      </c>
      <c r="F542" s="154">
        <f t="shared" si="28"/>
        <v>121.06</v>
      </c>
      <c r="G542" s="412"/>
      <c r="H542" s="253"/>
      <c r="I542" s="34"/>
      <c r="J542" s="253"/>
      <c r="K542" s="308"/>
      <c r="L542" s="253"/>
      <c r="M542" s="253"/>
      <c r="N542" s="253"/>
      <c r="O542" s="253"/>
      <c r="P542" s="253"/>
      <c r="Q542" s="253"/>
      <c r="R542" s="253"/>
      <c r="S542" s="253"/>
      <c r="Y542" s="89"/>
      <c r="BI542" s="89"/>
      <c r="BJ542" s="305"/>
    </row>
    <row r="543" spans="1:62" s="2" customFormat="1" ht="23.25" hidden="1" customHeight="1" x14ac:dyDescent="0.2">
      <c r="A543" s="404" t="s">
        <v>698</v>
      </c>
      <c r="B543" s="381" t="s">
        <v>699</v>
      </c>
      <c r="C543" s="379" t="s">
        <v>236</v>
      </c>
      <c r="D543" s="262">
        <v>15.36</v>
      </c>
      <c r="E543" s="96">
        <f t="shared" si="27"/>
        <v>3.07</v>
      </c>
      <c r="F543" s="154">
        <f>D543+E543</f>
        <v>18.43</v>
      </c>
      <c r="G543" s="412"/>
      <c r="H543" s="253"/>
      <c r="I543" s="34"/>
      <c r="J543" s="253"/>
      <c r="K543" s="308"/>
      <c r="L543" s="253"/>
      <c r="M543" s="253"/>
      <c r="N543" s="253"/>
      <c r="O543" s="253"/>
      <c r="P543" s="253"/>
      <c r="Q543" s="253"/>
      <c r="R543" s="253"/>
      <c r="S543" s="253"/>
      <c r="Y543" s="89"/>
      <c r="BI543" s="89"/>
      <c r="BJ543" s="305"/>
    </row>
    <row r="544" spans="1:62" s="2" customFormat="1" ht="24.75" hidden="1" customHeight="1" x14ac:dyDescent="0.2">
      <c r="A544" s="404" t="s">
        <v>700</v>
      </c>
      <c r="B544" s="381" t="s">
        <v>701</v>
      </c>
      <c r="C544" s="379" t="s">
        <v>236</v>
      </c>
      <c r="D544" s="262">
        <v>19.489999999999998</v>
      </c>
      <c r="E544" s="96">
        <f t="shared" si="27"/>
        <v>3.9</v>
      </c>
      <c r="F544" s="154">
        <f t="shared" si="28"/>
        <v>23.39</v>
      </c>
      <c r="G544" s="412"/>
      <c r="H544" s="253"/>
      <c r="I544" s="34"/>
      <c r="J544" s="253"/>
      <c r="K544" s="308"/>
      <c r="L544" s="253"/>
      <c r="M544" s="253"/>
      <c r="N544" s="253"/>
      <c r="O544" s="253"/>
      <c r="P544" s="253"/>
      <c r="Q544" s="253"/>
      <c r="R544" s="253"/>
      <c r="S544" s="253"/>
      <c r="Y544" s="89"/>
      <c r="BI544" s="89"/>
      <c r="BJ544" s="305"/>
    </row>
    <row r="545" spans="1:62" s="2" customFormat="1" ht="21" hidden="1" customHeight="1" x14ac:dyDescent="0.2">
      <c r="A545" s="404" t="s">
        <v>702</v>
      </c>
      <c r="B545" s="381" t="s">
        <v>703</v>
      </c>
      <c r="C545" s="379" t="s">
        <v>236</v>
      </c>
      <c r="D545" s="262">
        <v>72.239999999999995</v>
      </c>
      <c r="E545" s="96">
        <f t="shared" si="27"/>
        <v>14.45</v>
      </c>
      <c r="F545" s="154">
        <f t="shared" si="28"/>
        <v>86.69</v>
      </c>
      <c r="G545" s="412"/>
      <c r="H545" s="253"/>
      <c r="I545" s="34"/>
      <c r="J545" s="253"/>
      <c r="K545" s="308"/>
      <c r="L545" s="253"/>
      <c r="M545" s="253"/>
      <c r="N545" s="253"/>
      <c r="O545" s="253"/>
      <c r="P545" s="253"/>
      <c r="Q545" s="253"/>
      <c r="R545" s="253"/>
      <c r="S545" s="253"/>
      <c r="Y545" s="89"/>
      <c r="BI545" s="89"/>
      <c r="BJ545" s="305"/>
    </row>
    <row r="546" spans="1:62" s="2" customFormat="1" ht="17.25" hidden="1" customHeight="1" x14ac:dyDescent="0.2">
      <c r="A546" s="108" t="s">
        <v>39</v>
      </c>
      <c r="B546" s="429" t="s">
        <v>704</v>
      </c>
      <c r="C546" s="429"/>
      <c r="D546" s="429"/>
      <c r="E546" s="429"/>
      <c r="F546" s="429"/>
      <c r="G546" s="412"/>
      <c r="H546" s="253"/>
      <c r="I546" s="34"/>
      <c r="J546" s="253"/>
      <c r="K546" s="308"/>
      <c r="L546" s="253"/>
      <c r="M546" s="253"/>
      <c r="N546" s="253"/>
      <c r="O546" s="253"/>
      <c r="P546" s="253"/>
      <c r="Q546" s="253"/>
      <c r="R546" s="253"/>
      <c r="S546" s="253"/>
      <c r="Y546" s="89"/>
      <c r="BI546" s="89"/>
      <c r="BJ546" s="305"/>
    </row>
    <row r="547" spans="1:62" s="2" customFormat="1" ht="46.5" hidden="1" customHeight="1" x14ac:dyDescent="0.2">
      <c r="A547" s="404" t="s">
        <v>705</v>
      </c>
      <c r="B547" s="397" t="s">
        <v>564</v>
      </c>
      <c r="C547" s="379" t="s">
        <v>236</v>
      </c>
      <c r="D547" s="262">
        <v>76.150000000000006</v>
      </c>
      <c r="E547" s="96">
        <f>D547*20%</f>
        <v>15.23</v>
      </c>
      <c r="F547" s="154">
        <f>D547+E547</f>
        <v>91.38</v>
      </c>
      <c r="G547" s="412"/>
      <c r="H547" s="253"/>
      <c r="I547" s="34"/>
      <c r="J547" s="253"/>
      <c r="K547" s="308"/>
      <c r="L547" s="253"/>
      <c r="M547" s="253"/>
      <c r="N547" s="253"/>
      <c r="O547" s="253"/>
      <c r="P547" s="253"/>
      <c r="Q547" s="253"/>
      <c r="R547" s="253"/>
      <c r="S547" s="253"/>
      <c r="Y547" s="89"/>
      <c r="BI547" s="89"/>
      <c r="BJ547" s="305"/>
    </row>
    <row r="548" spans="1:62" s="2" customFormat="1" ht="16.5" hidden="1" customHeight="1" x14ac:dyDescent="0.2">
      <c r="A548" s="404"/>
      <c r="B548" s="430" t="s">
        <v>529</v>
      </c>
      <c r="C548" s="430"/>
      <c r="D548" s="430"/>
      <c r="E548" s="430"/>
      <c r="F548" s="430"/>
      <c r="G548" s="412"/>
      <c r="H548" s="253"/>
      <c r="I548" s="34"/>
      <c r="J548" s="253"/>
      <c r="K548" s="308"/>
      <c r="L548" s="253"/>
      <c r="M548" s="253"/>
      <c r="N548" s="253"/>
      <c r="O548" s="253"/>
      <c r="P548" s="253"/>
      <c r="Q548" s="253"/>
      <c r="R548" s="253"/>
      <c r="S548" s="253"/>
      <c r="Y548" s="89"/>
      <c r="BI548" s="89"/>
      <c r="BJ548" s="305"/>
    </row>
    <row r="549" spans="1:62" s="2" customFormat="1" ht="22.5" hidden="1" customHeight="1" x14ac:dyDescent="0.2">
      <c r="A549" s="404" t="s">
        <v>706</v>
      </c>
      <c r="B549" s="381" t="s">
        <v>707</v>
      </c>
      <c r="C549" s="379" t="s">
        <v>236</v>
      </c>
      <c r="D549" s="262">
        <v>178.64</v>
      </c>
      <c r="E549" s="96">
        <f>D549*20%</f>
        <v>35.729999999999997</v>
      </c>
      <c r="F549" s="154">
        <f>D549+E549</f>
        <v>214.37</v>
      </c>
      <c r="G549" s="412"/>
      <c r="H549" s="253"/>
      <c r="I549" s="34"/>
      <c r="J549" s="253"/>
      <c r="K549" s="308"/>
      <c r="L549" s="253"/>
      <c r="M549" s="253"/>
      <c r="N549" s="253"/>
      <c r="O549" s="253"/>
      <c r="P549" s="253"/>
      <c r="Q549" s="253"/>
      <c r="R549" s="253"/>
      <c r="S549" s="253"/>
      <c r="Y549" s="89"/>
      <c r="BI549" s="89"/>
      <c r="BJ549" s="305"/>
    </row>
    <row r="550" spans="1:62" s="2" customFormat="1" ht="46.5" hidden="1" customHeight="1" x14ac:dyDescent="0.2">
      <c r="A550" s="404" t="s">
        <v>708</v>
      </c>
      <c r="B550" s="381" t="s">
        <v>726</v>
      </c>
      <c r="C550" s="379" t="s">
        <v>236</v>
      </c>
      <c r="D550" s="262">
        <v>106.71</v>
      </c>
      <c r="E550" s="96">
        <f>D550*20%</f>
        <v>21.34</v>
      </c>
      <c r="F550" s="154">
        <f>D550+E550</f>
        <v>128.05000000000001</v>
      </c>
      <c r="G550" s="412"/>
      <c r="H550" s="253"/>
      <c r="I550" s="34"/>
      <c r="J550" s="253"/>
      <c r="K550" s="308"/>
      <c r="L550" s="253"/>
      <c r="M550" s="253"/>
      <c r="N550" s="253"/>
      <c r="O550" s="253"/>
      <c r="P550" s="253"/>
      <c r="Q550" s="253"/>
      <c r="R550" s="253"/>
      <c r="S550" s="253"/>
      <c r="Y550" s="89"/>
      <c r="BI550" s="89"/>
      <c r="BJ550" s="305"/>
    </row>
    <row r="551" spans="1:62" s="2" customFormat="1" ht="19.5" hidden="1" customHeight="1" x14ac:dyDescent="0.2">
      <c r="A551" s="380" t="s">
        <v>41</v>
      </c>
      <c r="B551" s="429" t="s">
        <v>710</v>
      </c>
      <c r="C551" s="429"/>
      <c r="D551" s="429"/>
      <c r="E551" s="429"/>
      <c r="F551" s="429"/>
      <c r="G551" s="412"/>
      <c r="H551" s="253"/>
      <c r="I551" s="34"/>
      <c r="J551" s="253"/>
      <c r="K551" s="308"/>
      <c r="L551" s="253"/>
      <c r="M551" s="253"/>
      <c r="N551" s="253"/>
      <c r="O551" s="253"/>
      <c r="P551" s="253"/>
      <c r="Q551" s="253"/>
      <c r="R551" s="253"/>
      <c r="S551" s="253"/>
      <c r="Y551" s="89"/>
      <c r="BI551" s="89"/>
      <c r="BJ551" s="305"/>
    </row>
    <row r="552" spans="1:62" s="2" customFormat="1" ht="46.5" hidden="1" customHeight="1" x14ac:dyDescent="0.2">
      <c r="A552" s="404" t="s">
        <v>711</v>
      </c>
      <c r="B552" s="397" t="s">
        <v>564</v>
      </c>
      <c r="C552" s="379" t="s">
        <v>236</v>
      </c>
      <c r="D552" s="262">
        <v>76.150000000000006</v>
      </c>
      <c r="E552" s="96">
        <f t="shared" ref="E552:E560" si="29">D552*20%</f>
        <v>15.23</v>
      </c>
      <c r="F552" s="154">
        <f t="shared" ref="F552:F559" si="30">D552+E552</f>
        <v>91.38</v>
      </c>
      <c r="G552" s="412"/>
      <c r="H552" s="253"/>
      <c r="I552" s="34"/>
      <c r="J552" s="253"/>
      <c r="K552" s="308"/>
      <c r="L552" s="253"/>
      <c r="M552" s="253"/>
      <c r="N552" s="253"/>
      <c r="O552" s="253"/>
      <c r="P552" s="253"/>
      <c r="Q552" s="253"/>
      <c r="R552" s="253"/>
      <c r="S552" s="253"/>
      <c r="Y552" s="89"/>
      <c r="BI552" s="89"/>
      <c r="BJ552" s="305"/>
    </row>
    <row r="553" spans="1:62" s="2" customFormat="1" ht="32.25" hidden="1" customHeight="1" x14ac:dyDescent="0.2">
      <c r="A553" s="404" t="s">
        <v>712</v>
      </c>
      <c r="B553" s="381" t="s">
        <v>713</v>
      </c>
      <c r="C553" s="379" t="s">
        <v>236</v>
      </c>
      <c r="D553" s="262">
        <v>12.7</v>
      </c>
      <c r="E553" s="96">
        <f t="shared" si="29"/>
        <v>2.54</v>
      </c>
      <c r="F553" s="154">
        <f>D553+E553</f>
        <v>15.24</v>
      </c>
      <c r="G553" s="412"/>
      <c r="H553" s="253"/>
      <c r="I553" s="34"/>
      <c r="J553" s="253"/>
      <c r="K553" s="308"/>
      <c r="L553" s="253"/>
      <c r="M553" s="253"/>
      <c r="N553" s="253"/>
      <c r="O553" s="253"/>
      <c r="P553" s="253"/>
      <c r="Q553" s="253"/>
      <c r="R553" s="253"/>
      <c r="S553" s="253"/>
      <c r="Y553" s="89"/>
      <c r="BI553" s="89"/>
      <c r="BJ553" s="305"/>
    </row>
    <row r="554" spans="1:62" s="2" customFormat="1" ht="20.25" hidden="1" customHeight="1" x14ac:dyDescent="0.2">
      <c r="A554" s="404" t="s">
        <v>714</v>
      </c>
      <c r="B554" s="381" t="s">
        <v>651</v>
      </c>
      <c r="C554" s="379" t="s">
        <v>236</v>
      </c>
      <c r="D554" s="262">
        <v>48.86</v>
      </c>
      <c r="E554" s="96">
        <f t="shared" si="29"/>
        <v>9.77</v>
      </c>
      <c r="F554" s="154">
        <f t="shared" si="30"/>
        <v>58.63</v>
      </c>
      <c r="G554" s="412"/>
      <c r="H554" s="253"/>
      <c r="I554" s="34"/>
      <c r="J554" s="253"/>
      <c r="K554" s="308"/>
      <c r="L554" s="253"/>
      <c r="M554" s="253"/>
      <c r="N554" s="253"/>
      <c r="O554" s="253"/>
      <c r="P554" s="253"/>
      <c r="Q554" s="253"/>
      <c r="R554" s="253"/>
      <c r="S554" s="253"/>
      <c r="Y554" s="89"/>
      <c r="BI554" s="89"/>
      <c r="BJ554" s="305"/>
    </row>
    <row r="555" spans="1:62" s="2" customFormat="1" ht="18" hidden="1" customHeight="1" x14ac:dyDescent="0.2">
      <c r="A555" s="404" t="s">
        <v>715</v>
      </c>
      <c r="B555" s="381" t="s">
        <v>716</v>
      </c>
      <c r="C555" s="379" t="s">
        <v>236</v>
      </c>
      <c r="D555" s="262">
        <v>28.83</v>
      </c>
      <c r="E555" s="96">
        <f t="shared" si="29"/>
        <v>5.77</v>
      </c>
      <c r="F555" s="154">
        <f t="shared" si="30"/>
        <v>34.6</v>
      </c>
      <c r="G555" s="412"/>
      <c r="H555" s="253"/>
      <c r="I555" s="34"/>
      <c r="J555" s="253"/>
      <c r="K555" s="308"/>
      <c r="L555" s="253"/>
      <c r="M555" s="253"/>
      <c r="N555" s="253"/>
      <c r="O555" s="253"/>
      <c r="P555" s="253"/>
      <c r="Q555" s="253"/>
      <c r="R555" s="253"/>
      <c r="S555" s="253"/>
      <c r="Y555" s="89"/>
      <c r="BI555" s="89"/>
      <c r="BJ555" s="305"/>
    </row>
    <row r="556" spans="1:62" s="2" customFormat="1" ht="18.75" hidden="1" customHeight="1" x14ac:dyDescent="0.2">
      <c r="A556" s="404" t="s">
        <v>717</v>
      </c>
      <c r="B556" s="381" t="s">
        <v>718</v>
      </c>
      <c r="C556" s="379" t="s">
        <v>236</v>
      </c>
      <c r="D556" s="262">
        <v>84.15</v>
      </c>
      <c r="E556" s="96">
        <f t="shared" si="29"/>
        <v>16.829999999999998</v>
      </c>
      <c r="F556" s="154">
        <f>D556+E556</f>
        <v>100.98</v>
      </c>
      <c r="G556" s="412"/>
      <c r="H556" s="253"/>
      <c r="I556" s="34"/>
      <c r="J556" s="253"/>
      <c r="K556" s="308"/>
      <c r="L556" s="253"/>
      <c r="M556" s="253"/>
      <c r="N556" s="253"/>
      <c r="O556" s="253"/>
      <c r="P556" s="253"/>
      <c r="Q556" s="253"/>
      <c r="R556" s="253"/>
      <c r="S556" s="253"/>
      <c r="Y556" s="89"/>
      <c r="BI556" s="89"/>
      <c r="BJ556" s="305"/>
    </row>
    <row r="557" spans="1:62" s="2" customFormat="1" ht="28.5" hidden="1" customHeight="1" x14ac:dyDescent="0.2">
      <c r="A557" s="404" t="s">
        <v>719</v>
      </c>
      <c r="B557" s="381" t="s">
        <v>720</v>
      </c>
      <c r="C557" s="379" t="s">
        <v>236</v>
      </c>
      <c r="D557" s="262">
        <v>44.94</v>
      </c>
      <c r="E557" s="96">
        <f t="shared" si="29"/>
        <v>8.99</v>
      </c>
      <c r="F557" s="154">
        <f t="shared" si="30"/>
        <v>53.93</v>
      </c>
      <c r="G557" s="412"/>
      <c r="H557" s="253"/>
      <c r="I557" s="34"/>
      <c r="J557" s="253"/>
      <c r="K557" s="308"/>
      <c r="L557" s="253"/>
      <c r="M557" s="253"/>
      <c r="N557" s="253"/>
      <c r="O557" s="253"/>
      <c r="P557" s="253"/>
      <c r="Q557" s="253"/>
      <c r="R557" s="253"/>
      <c r="S557" s="253"/>
      <c r="Y557" s="89"/>
      <c r="BI557" s="89"/>
      <c r="BJ557" s="305"/>
    </row>
    <row r="558" spans="1:62" s="2" customFormat="1" ht="19.5" hidden="1" customHeight="1" x14ac:dyDescent="0.2">
      <c r="A558" s="404" t="s">
        <v>721</v>
      </c>
      <c r="B558" s="381" t="s">
        <v>722</v>
      </c>
      <c r="C558" s="379" t="s">
        <v>236</v>
      </c>
      <c r="D558" s="262">
        <v>61.14</v>
      </c>
      <c r="E558" s="96">
        <f t="shared" si="29"/>
        <v>12.23</v>
      </c>
      <c r="F558" s="154">
        <f t="shared" si="30"/>
        <v>73.37</v>
      </c>
      <c r="G558" s="412"/>
      <c r="H558" s="253"/>
      <c r="I558" s="34"/>
      <c r="J558" s="253"/>
      <c r="K558" s="308"/>
      <c r="L558" s="253"/>
      <c r="M558" s="253"/>
      <c r="N558" s="253"/>
      <c r="O558" s="253"/>
      <c r="P558" s="253"/>
      <c r="Q558" s="253"/>
      <c r="R558" s="253"/>
      <c r="S558" s="253"/>
      <c r="Y558" s="89"/>
      <c r="BI558" s="89"/>
      <c r="BJ558" s="305"/>
    </row>
    <row r="559" spans="1:62" s="2" customFormat="1" ht="15.75" hidden="1" customHeight="1" x14ac:dyDescent="0.2">
      <c r="A559" s="404" t="s">
        <v>723</v>
      </c>
      <c r="B559" s="381" t="s">
        <v>724</v>
      </c>
      <c r="C559" s="379" t="s">
        <v>236</v>
      </c>
      <c r="D559" s="262">
        <v>178.64</v>
      </c>
      <c r="E559" s="96">
        <f t="shared" si="29"/>
        <v>35.729999999999997</v>
      </c>
      <c r="F559" s="154">
        <f t="shared" si="30"/>
        <v>214.37</v>
      </c>
      <c r="G559" s="412"/>
      <c r="H559" s="253"/>
      <c r="I559" s="34"/>
      <c r="J559" s="253"/>
      <c r="K559" s="308"/>
      <c r="L559" s="253"/>
      <c r="M559" s="253"/>
      <c r="N559" s="253"/>
      <c r="O559" s="253"/>
      <c r="P559" s="253"/>
      <c r="Q559" s="253"/>
      <c r="R559" s="253"/>
      <c r="S559" s="253"/>
      <c r="Y559" s="89"/>
      <c r="BI559" s="89"/>
      <c r="BJ559" s="305"/>
    </row>
    <row r="560" spans="1:62" s="2" customFormat="1" ht="46.5" hidden="1" customHeight="1" x14ac:dyDescent="0.2">
      <c r="A560" s="404" t="s">
        <v>725</v>
      </c>
      <c r="B560" s="381" t="s">
        <v>726</v>
      </c>
      <c r="C560" s="379" t="s">
        <v>236</v>
      </c>
      <c r="D560" s="262">
        <v>106.71</v>
      </c>
      <c r="E560" s="96">
        <f t="shared" si="29"/>
        <v>21.34</v>
      </c>
      <c r="F560" s="154">
        <f>D560+E560</f>
        <v>128.05000000000001</v>
      </c>
      <c r="G560" s="412"/>
      <c r="H560" s="253"/>
      <c r="I560" s="34"/>
      <c r="J560" s="253"/>
      <c r="K560" s="308"/>
      <c r="L560" s="253"/>
      <c r="M560" s="253"/>
      <c r="N560" s="253"/>
      <c r="O560" s="253"/>
      <c r="P560" s="253"/>
      <c r="Q560" s="253"/>
      <c r="R560" s="253"/>
      <c r="S560" s="253"/>
      <c r="Y560" s="89"/>
      <c r="BI560" s="89"/>
      <c r="BJ560" s="305"/>
    </row>
    <row r="561" spans="1:62" s="2" customFormat="1" ht="21" hidden="1" customHeight="1" x14ac:dyDescent="0.2">
      <c r="A561" s="108" t="s">
        <v>44</v>
      </c>
      <c r="B561" s="429" t="s">
        <v>727</v>
      </c>
      <c r="C561" s="429"/>
      <c r="D561" s="429"/>
      <c r="E561" s="429"/>
      <c r="F561" s="429"/>
      <c r="G561" s="412"/>
      <c r="H561" s="253"/>
      <c r="I561" s="34"/>
      <c r="J561" s="253"/>
      <c r="K561" s="308"/>
      <c r="L561" s="253"/>
      <c r="M561" s="253"/>
      <c r="N561" s="253"/>
      <c r="O561" s="253"/>
      <c r="P561" s="253"/>
      <c r="Q561" s="253"/>
      <c r="R561" s="253"/>
      <c r="S561" s="253"/>
      <c r="Y561" s="89"/>
      <c r="BI561" s="89"/>
      <c r="BJ561" s="305"/>
    </row>
    <row r="562" spans="1:62" s="2" customFormat="1" ht="46.5" hidden="1" customHeight="1" x14ac:dyDescent="0.2">
      <c r="A562" s="404" t="s">
        <v>728</v>
      </c>
      <c r="B562" s="397" t="s">
        <v>564</v>
      </c>
      <c r="C562" s="379" t="s">
        <v>236</v>
      </c>
      <c r="D562" s="262">
        <v>76.150000000000006</v>
      </c>
      <c r="E562" s="96">
        <f t="shared" ref="E562:E575" si="31">D562*20%</f>
        <v>15.23</v>
      </c>
      <c r="F562" s="154">
        <f>D562+E562</f>
        <v>91.38</v>
      </c>
      <c r="G562" s="412"/>
      <c r="H562" s="253"/>
      <c r="I562" s="34"/>
      <c r="J562" s="253"/>
      <c r="K562" s="308"/>
      <c r="L562" s="253"/>
      <c r="M562" s="253"/>
      <c r="N562" s="253"/>
      <c r="O562" s="253"/>
      <c r="P562" s="253"/>
      <c r="Q562" s="253"/>
      <c r="R562" s="253"/>
      <c r="S562" s="253"/>
      <c r="Y562" s="89"/>
      <c r="BI562" s="89"/>
      <c r="BJ562" s="305"/>
    </row>
    <row r="563" spans="1:62" s="2" customFormat="1" ht="19.5" hidden="1" customHeight="1" x14ac:dyDescent="0.2">
      <c r="A563" s="404" t="s">
        <v>729</v>
      </c>
      <c r="B563" s="381" t="s">
        <v>651</v>
      </c>
      <c r="C563" s="379" t="s">
        <v>236</v>
      </c>
      <c r="D563" s="262">
        <v>48.86</v>
      </c>
      <c r="E563" s="96">
        <f t="shared" si="31"/>
        <v>9.77</v>
      </c>
      <c r="F563" s="154">
        <f t="shared" ref="F563:F572" si="32">D563+E563</f>
        <v>58.63</v>
      </c>
      <c r="G563" s="412"/>
      <c r="H563" s="253"/>
      <c r="I563" s="34"/>
      <c r="J563" s="253"/>
      <c r="K563" s="308"/>
      <c r="L563" s="253"/>
      <c r="M563" s="253"/>
      <c r="N563" s="253"/>
      <c r="O563" s="253"/>
      <c r="P563" s="253"/>
      <c r="Q563" s="253"/>
      <c r="R563" s="253"/>
      <c r="S563" s="253"/>
      <c r="Y563" s="89"/>
      <c r="BI563" s="89"/>
      <c r="BJ563" s="305"/>
    </row>
    <row r="564" spans="1:62" s="2" customFormat="1" ht="21" hidden="1" customHeight="1" x14ac:dyDescent="0.2">
      <c r="A564" s="404" t="s">
        <v>730</v>
      </c>
      <c r="B564" s="381" t="s">
        <v>731</v>
      </c>
      <c r="C564" s="379" t="s">
        <v>236</v>
      </c>
      <c r="D564" s="262">
        <v>28.83</v>
      </c>
      <c r="E564" s="96">
        <f t="shared" si="31"/>
        <v>5.77</v>
      </c>
      <c r="F564" s="154">
        <f t="shared" si="32"/>
        <v>34.6</v>
      </c>
      <c r="G564" s="412"/>
      <c r="H564" s="253"/>
      <c r="I564" s="34"/>
      <c r="J564" s="253"/>
      <c r="K564" s="308"/>
      <c r="L564" s="253"/>
      <c r="M564" s="253"/>
      <c r="N564" s="253"/>
      <c r="O564" s="253"/>
      <c r="P564" s="253"/>
      <c r="Q564" s="253"/>
      <c r="R564" s="253"/>
      <c r="S564" s="253"/>
      <c r="Y564" s="89"/>
      <c r="BI564" s="89"/>
      <c r="BJ564" s="305"/>
    </row>
    <row r="565" spans="1:62" s="2" customFormat="1" ht="18" hidden="1" customHeight="1" x14ac:dyDescent="0.2">
      <c r="A565" s="404" t="s">
        <v>732</v>
      </c>
      <c r="B565" s="381" t="s">
        <v>733</v>
      </c>
      <c r="C565" s="379" t="s">
        <v>236</v>
      </c>
      <c r="D565" s="262">
        <v>39.53</v>
      </c>
      <c r="E565" s="96">
        <f t="shared" si="31"/>
        <v>7.91</v>
      </c>
      <c r="F565" s="154">
        <f t="shared" si="32"/>
        <v>47.44</v>
      </c>
      <c r="G565" s="412"/>
      <c r="H565" s="253"/>
      <c r="I565" s="34"/>
      <c r="J565" s="253"/>
      <c r="K565" s="308"/>
      <c r="L565" s="253"/>
      <c r="M565" s="253"/>
      <c r="N565" s="253"/>
      <c r="O565" s="253"/>
      <c r="P565" s="253"/>
      <c r="Q565" s="253"/>
      <c r="R565" s="253"/>
      <c r="S565" s="253"/>
      <c r="Y565" s="89"/>
      <c r="BI565" s="89"/>
      <c r="BJ565" s="305"/>
    </row>
    <row r="566" spans="1:62" s="2" customFormat="1" ht="20.25" hidden="1" customHeight="1" x14ac:dyDescent="0.2">
      <c r="A566" s="404" t="s">
        <v>734</v>
      </c>
      <c r="B566" s="381" t="s">
        <v>735</v>
      </c>
      <c r="C566" s="379" t="s">
        <v>236</v>
      </c>
      <c r="D566" s="262">
        <v>61.14</v>
      </c>
      <c r="E566" s="96">
        <f t="shared" si="31"/>
        <v>12.23</v>
      </c>
      <c r="F566" s="154">
        <f t="shared" si="32"/>
        <v>73.37</v>
      </c>
      <c r="G566" s="412"/>
      <c r="H566" s="253"/>
      <c r="I566" s="34"/>
      <c r="J566" s="253"/>
      <c r="K566" s="308"/>
      <c r="L566" s="253"/>
      <c r="M566" s="253"/>
      <c r="N566" s="253"/>
      <c r="O566" s="253"/>
      <c r="P566" s="253"/>
      <c r="Q566" s="253"/>
      <c r="R566" s="253"/>
      <c r="S566" s="253"/>
      <c r="Y566" s="89"/>
      <c r="BI566" s="89"/>
      <c r="BJ566" s="305"/>
    </row>
    <row r="567" spans="1:62" s="2" customFormat="1" ht="27" hidden="1" customHeight="1" x14ac:dyDescent="0.2">
      <c r="A567" s="404" t="s">
        <v>736</v>
      </c>
      <c r="B567" s="381" t="s">
        <v>737</v>
      </c>
      <c r="C567" s="379" t="s">
        <v>236</v>
      </c>
      <c r="D567" s="262">
        <v>76.34</v>
      </c>
      <c r="E567" s="96">
        <f t="shared" si="31"/>
        <v>15.27</v>
      </c>
      <c r="F567" s="154">
        <f t="shared" si="32"/>
        <v>91.61</v>
      </c>
      <c r="G567" s="412"/>
      <c r="H567" s="253"/>
      <c r="I567" s="34"/>
      <c r="J567" s="253"/>
      <c r="K567" s="308"/>
      <c r="L567" s="253"/>
      <c r="M567" s="253"/>
      <c r="N567" s="253"/>
      <c r="O567" s="253"/>
      <c r="P567" s="253"/>
      <c r="Q567" s="253"/>
      <c r="R567" s="253"/>
      <c r="S567" s="253"/>
      <c r="Y567" s="89"/>
      <c r="BI567" s="89"/>
      <c r="BJ567" s="305"/>
    </row>
    <row r="568" spans="1:62" s="2" customFormat="1" ht="30" hidden="1" customHeight="1" x14ac:dyDescent="0.2">
      <c r="A568" s="404" t="s">
        <v>738</v>
      </c>
      <c r="B568" s="381" t="s">
        <v>739</v>
      </c>
      <c r="C568" s="379" t="s">
        <v>236</v>
      </c>
      <c r="D568" s="262">
        <v>15.36</v>
      </c>
      <c r="E568" s="96">
        <f t="shared" si="31"/>
        <v>3.07</v>
      </c>
      <c r="F568" s="154">
        <f t="shared" si="32"/>
        <v>18.43</v>
      </c>
      <c r="G568" s="412"/>
      <c r="H568" s="253"/>
      <c r="I568" s="34"/>
      <c r="J568" s="253"/>
      <c r="K568" s="308"/>
      <c r="L568" s="253"/>
      <c r="M568" s="253"/>
      <c r="N568" s="253"/>
      <c r="O568" s="253"/>
      <c r="P568" s="253"/>
      <c r="Q568" s="253"/>
      <c r="R568" s="253"/>
      <c r="S568" s="253"/>
      <c r="Y568" s="89"/>
      <c r="BI568" s="89"/>
      <c r="BJ568" s="305"/>
    </row>
    <row r="569" spans="1:62" s="2" customFormat="1" ht="27.75" hidden="1" customHeight="1" x14ac:dyDescent="0.2">
      <c r="A569" s="404" t="s">
        <v>740</v>
      </c>
      <c r="B569" s="381" t="s">
        <v>741</v>
      </c>
      <c r="C569" s="379" t="s">
        <v>236</v>
      </c>
      <c r="D569" s="262">
        <v>43.55</v>
      </c>
      <c r="E569" s="96">
        <f t="shared" si="31"/>
        <v>8.7100000000000009</v>
      </c>
      <c r="F569" s="154">
        <f t="shared" si="32"/>
        <v>52.26</v>
      </c>
      <c r="G569" s="412"/>
      <c r="H569" s="253"/>
      <c r="I569" s="34"/>
      <c r="J569" s="253"/>
      <c r="K569" s="308"/>
      <c r="L569" s="253"/>
      <c r="M569" s="253"/>
      <c r="N569" s="253"/>
      <c r="O569" s="253"/>
      <c r="P569" s="253"/>
      <c r="Q569" s="253"/>
      <c r="R569" s="253"/>
      <c r="S569" s="253"/>
      <c r="Y569" s="89"/>
      <c r="BI569" s="89"/>
      <c r="BJ569" s="305"/>
    </row>
    <row r="570" spans="1:62" s="2" customFormat="1" ht="21" hidden="1" customHeight="1" x14ac:dyDescent="0.2">
      <c r="A570" s="404" t="s">
        <v>742</v>
      </c>
      <c r="B570" s="381" t="s">
        <v>743</v>
      </c>
      <c r="C570" s="379" t="s">
        <v>236</v>
      </c>
      <c r="D570" s="262">
        <v>59.66</v>
      </c>
      <c r="E570" s="96">
        <f t="shared" si="31"/>
        <v>11.93</v>
      </c>
      <c r="F570" s="154">
        <f t="shared" si="32"/>
        <v>71.59</v>
      </c>
      <c r="G570" s="412"/>
      <c r="H570" s="253"/>
      <c r="I570" s="34"/>
      <c r="J570" s="253"/>
      <c r="K570" s="308"/>
      <c r="L570" s="253"/>
      <c r="M570" s="253"/>
      <c r="N570" s="253"/>
      <c r="O570" s="253"/>
      <c r="P570" s="253"/>
      <c r="Q570" s="253"/>
      <c r="R570" s="253"/>
      <c r="S570" s="253"/>
      <c r="Y570" s="89"/>
      <c r="BI570" s="89"/>
      <c r="BJ570" s="305"/>
    </row>
    <row r="571" spans="1:62" s="2" customFormat="1" ht="24.75" hidden="1" customHeight="1" x14ac:dyDescent="0.2">
      <c r="A571" s="404" t="s">
        <v>744</v>
      </c>
      <c r="B571" s="381" t="s">
        <v>745</v>
      </c>
      <c r="C571" s="379" t="s">
        <v>236</v>
      </c>
      <c r="D571" s="262">
        <v>19.71</v>
      </c>
      <c r="E571" s="96">
        <f t="shared" si="31"/>
        <v>3.94</v>
      </c>
      <c r="F571" s="154">
        <f t="shared" si="32"/>
        <v>23.65</v>
      </c>
      <c r="G571" s="412"/>
      <c r="H571" s="253"/>
      <c r="I571" s="34"/>
      <c r="J571" s="253"/>
      <c r="K571" s="308"/>
      <c r="L571" s="253"/>
      <c r="M571" s="253"/>
      <c r="N571" s="253"/>
      <c r="O571" s="253"/>
      <c r="P571" s="253"/>
      <c r="Q571" s="253"/>
      <c r="R571" s="253"/>
      <c r="S571" s="253"/>
      <c r="Y571" s="89"/>
      <c r="BI571" s="89"/>
      <c r="BJ571" s="305"/>
    </row>
    <row r="572" spans="1:62" s="2" customFormat="1" ht="21.75" hidden="1" customHeight="1" x14ac:dyDescent="0.2">
      <c r="A572" s="404" t="s">
        <v>746</v>
      </c>
      <c r="B572" s="381" t="s">
        <v>747</v>
      </c>
      <c r="C572" s="379" t="s">
        <v>236</v>
      </c>
      <c r="D572" s="262">
        <v>354.63</v>
      </c>
      <c r="E572" s="96">
        <f t="shared" si="31"/>
        <v>70.930000000000007</v>
      </c>
      <c r="F572" s="154">
        <f t="shared" si="32"/>
        <v>425.56</v>
      </c>
      <c r="G572" s="412"/>
      <c r="H572" s="253"/>
      <c r="I572" s="34"/>
      <c r="J572" s="253"/>
      <c r="K572" s="308"/>
      <c r="L572" s="253"/>
      <c r="M572" s="253"/>
      <c r="N572" s="253"/>
      <c r="O572" s="253"/>
      <c r="P572" s="253"/>
      <c r="Q572" s="253"/>
      <c r="R572" s="253"/>
      <c r="S572" s="253"/>
      <c r="Y572" s="89"/>
      <c r="BI572" s="89"/>
      <c r="BJ572" s="305"/>
    </row>
    <row r="573" spans="1:62" s="2" customFormat="1" ht="27" hidden="1" customHeight="1" x14ac:dyDescent="0.2">
      <c r="A573" s="404" t="s">
        <v>748</v>
      </c>
      <c r="B573" s="381" t="s">
        <v>749</v>
      </c>
      <c r="C573" s="379" t="s">
        <v>236</v>
      </c>
      <c r="D573" s="262">
        <v>175.58</v>
      </c>
      <c r="E573" s="96">
        <f t="shared" si="31"/>
        <v>35.119999999999997</v>
      </c>
      <c r="F573" s="154">
        <f>D573+E573</f>
        <v>210.7</v>
      </c>
      <c r="G573" s="412"/>
      <c r="H573" s="253"/>
      <c r="I573" s="34"/>
      <c r="J573" s="253"/>
      <c r="K573" s="308"/>
      <c r="L573" s="253"/>
      <c r="M573" s="253"/>
      <c r="N573" s="253"/>
      <c r="O573" s="253"/>
      <c r="P573" s="253"/>
      <c r="Q573" s="253"/>
      <c r="R573" s="253"/>
      <c r="S573" s="253"/>
      <c r="Y573" s="89"/>
      <c r="BI573" s="89"/>
      <c r="BJ573" s="305"/>
    </row>
    <row r="574" spans="1:62" s="2" customFormat="1" ht="18.75" hidden="1" customHeight="1" x14ac:dyDescent="0.2">
      <c r="A574" s="404" t="s">
        <v>750</v>
      </c>
      <c r="B574" s="381" t="s">
        <v>751</v>
      </c>
      <c r="C574" s="379" t="s">
        <v>236</v>
      </c>
      <c r="D574" s="262">
        <v>362.89</v>
      </c>
      <c r="E574" s="96">
        <f t="shared" si="31"/>
        <v>72.58</v>
      </c>
      <c r="F574" s="154">
        <f>D574+E574</f>
        <v>435.47</v>
      </c>
      <c r="G574" s="412"/>
      <c r="H574" s="253"/>
      <c r="I574" s="34"/>
      <c r="J574" s="253"/>
      <c r="K574" s="308"/>
      <c r="L574" s="253"/>
      <c r="M574" s="253"/>
      <c r="N574" s="253"/>
      <c r="O574" s="253"/>
      <c r="P574" s="253"/>
      <c r="Q574" s="253"/>
      <c r="R574" s="253"/>
      <c r="S574" s="253"/>
      <c r="Y574" s="89"/>
      <c r="BI574" s="89"/>
      <c r="BJ574" s="305"/>
    </row>
    <row r="575" spans="1:62" s="2" customFormat="1" ht="31.5" hidden="1" customHeight="1" x14ac:dyDescent="0.2">
      <c r="A575" s="404" t="s">
        <v>752</v>
      </c>
      <c r="B575" s="98" t="s">
        <v>753</v>
      </c>
      <c r="C575" s="379" t="s">
        <v>236</v>
      </c>
      <c r="D575" s="262">
        <v>174.21</v>
      </c>
      <c r="E575" s="96">
        <f t="shared" si="31"/>
        <v>34.840000000000003</v>
      </c>
      <c r="F575" s="154">
        <f>D575+E575</f>
        <v>209.05</v>
      </c>
      <c r="G575" s="412"/>
      <c r="H575" s="253"/>
      <c r="I575" s="34"/>
      <c r="J575" s="253"/>
      <c r="K575" s="308"/>
      <c r="L575" s="253"/>
      <c r="M575" s="253"/>
      <c r="N575" s="253"/>
      <c r="O575" s="253"/>
      <c r="P575" s="253"/>
      <c r="Q575" s="253"/>
      <c r="R575" s="253"/>
      <c r="S575" s="253"/>
      <c r="Y575" s="89"/>
      <c r="BI575" s="89"/>
      <c r="BJ575" s="305"/>
    </row>
    <row r="576" spans="1:62" s="2" customFormat="1" ht="23.25" hidden="1" customHeight="1" x14ac:dyDescent="0.2">
      <c r="A576" s="108" t="s">
        <v>46</v>
      </c>
      <c r="B576" s="429" t="s">
        <v>754</v>
      </c>
      <c r="C576" s="429"/>
      <c r="D576" s="429"/>
      <c r="E576" s="429"/>
      <c r="F576" s="429"/>
      <c r="G576" s="412"/>
      <c r="H576" s="253"/>
      <c r="I576" s="34"/>
      <c r="J576" s="253"/>
      <c r="K576" s="308"/>
      <c r="L576" s="253"/>
      <c r="M576" s="253"/>
      <c r="N576" s="253"/>
      <c r="O576" s="253"/>
      <c r="P576" s="253"/>
      <c r="Q576" s="253"/>
      <c r="R576" s="253"/>
      <c r="S576" s="253"/>
      <c r="Y576" s="89"/>
      <c r="BI576" s="89"/>
      <c r="BJ576" s="305"/>
    </row>
    <row r="577" spans="1:62" s="2" customFormat="1" ht="23.25" hidden="1" customHeight="1" x14ac:dyDescent="0.2">
      <c r="A577" s="404" t="s">
        <v>755</v>
      </c>
      <c r="B577" s="381" t="s">
        <v>756</v>
      </c>
      <c r="C577" s="379" t="s">
        <v>236</v>
      </c>
      <c r="D577" s="262">
        <v>49.68</v>
      </c>
      <c r="E577" s="96">
        <f t="shared" ref="E577:E589" si="33">D577*20%</f>
        <v>9.94</v>
      </c>
      <c r="F577" s="154">
        <f t="shared" ref="F577:F586" si="34">D577+E577</f>
        <v>59.62</v>
      </c>
      <c r="G577" s="412"/>
      <c r="H577" s="253"/>
      <c r="I577" s="34"/>
      <c r="J577" s="253"/>
      <c r="K577" s="308"/>
      <c r="L577" s="253"/>
      <c r="M577" s="253"/>
      <c r="N577" s="253"/>
      <c r="O577" s="253"/>
      <c r="P577" s="253"/>
      <c r="Q577" s="253"/>
      <c r="R577" s="253"/>
      <c r="S577" s="253"/>
      <c r="Y577" s="89"/>
      <c r="BI577" s="89"/>
      <c r="BJ577" s="305"/>
    </row>
    <row r="578" spans="1:62" s="2" customFormat="1" ht="21" hidden="1" customHeight="1" x14ac:dyDescent="0.2">
      <c r="A578" s="404" t="s">
        <v>757</v>
      </c>
      <c r="B578" s="381" t="s">
        <v>758</v>
      </c>
      <c r="C578" s="379" t="s">
        <v>236</v>
      </c>
      <c r="D578" s="262">
        <v>59.66</v>
      </c>
      <c r="E578" s="96">
        <f t="shared" si="33"/>
        <v>11.93</v>
      </c>
      <c r="F578" s="154">
        <f t="shared" si="34"/>
        <v>71.59</v>
      </c>
      <c r="G578" s="412"/>
      <c r="H578" s="253"/>
      <c r="I578" s="34"/>
      <c r="J578" s="253"/>
      <c r="K578" s="308"/>
      <c r="L578" s="253"/>
      <c r="M578" s="253"/>
      <c r="N578" s="253"/>
      <c r="O578" s="253"/>
      <c r="P578" s="253"/>
      <c r="Q578" s="253"/>
      <c r="R578" s="253"/>
      <c r="S578" s="253"/>
      <c r="Y578" s="89"/>
      <c r="BI578" s="89"/>
      <c r="BJ578" s="305"/>
    </row>
    <row r="579" spans="1:62" s="2" customFormat="1" ht="30" hidden="1" customHeight="1" x14ac:dyDescent="0.2">
      <c r="A579" s="404" t="s">
        <v>759</v>
      </c>
      <c r="B579" s="381" t="s">
        <v>760</v>
      </c>
      <c r="C579" s="379" t="s">
        <v>236</v>
      </c>
      <c r="D579" s="262">
        <v>85.2</v>
      </c>
      <c r="E579" s="96">
        <f t="shared" si="33"/>
        <v>17.04</v>
      </c>
      <c r="F579" s="154">
        <f t="shared" si="34"/>
        <v>102.24</v>
      </c>
      <c r="G579" s="412"/>
      <c r="H579" s="253"/>
      <c r="I579" s="34"/>
      <c r="J579" s="253"/>
      <c r="K579" s="308"/>
      <c r="L579" s="253"/>
      <c r="M579" s="253"/>
      <c r="N579" s="253"/>
      <c r="O579" s="253"/>
      <c r="P579" s="253"/>
      <c r="Q579" s="253"/>
      <c r="R579" s="253"/>
      <c r="S579" s="253"/>
      <c r="Y579" s="89"/>
      <c r="BI579" s="89"/>
      <c r="BJ579" s="305"/>
    </row>
    <row r="580" spans="1:62" s="2" customFormat="1" ht="21" hidden="1" customHeight="1" x14ac:dyDescent="0.2">
      <c r="A580" s="404" t="s">
        <v>761</v>
      </c>
      <c r="B580" s="381" t="s">
        <v>762</v>
      </c>
      <c r="C580" s="379" t="s">
        <v>236</v>
      </c>
      <c r="D580" s="262">
        <v>109.84</v>
      </c>
      <c r="E580" s="96">
        <f t="shared" si="33"/>
        <v>21.97</v>
      </c>
      <c r="F580" s="154">
        <f t="shared" si="34"/>
        <v>131.81</v>
      </c>
      <c r="G580" s="412"/>
      <c r="H580" s="253"/>
      <c r="I580" s="34"/>
      <c r="J580" s="253"/>
      <c r="K580" s="308"/>
      <c r="L580" s="253"/>
      <c r="M580" s="253"/>
      <c r="N580" s="253"/>
      <c r="O580" s="253"/>
      <c r="P580" s="253"/>
      <c r="Q580" s="253"/>
      <c r="R580" s="253"/>
      <c r="S580" s="253"/>
      <c r="Y580" s="89"/>
      <c r="BI580" s="89"/>
      <c r="BJ580" s="305"/>
    </row>
    <row r="581" spans="1:62" s="2" customFormat="1" ht="18" hidden="1" customHeight="1" x14ac:dyDescent="0.2">
      <c r="A581" s="404" t="s">
        <v>763</v>
      </c>
      <c r="B581" s="381" t="s">
        <v>764</v>
      </c>
      <c r="C581" s="379" t="s">
        <v>236</v>
      </c>
      <c r="D581" s="262">
        <v>81.47</v>
      </c>
      <c r="E581" s="96">
        <f t="shared" si="33"/>
        <v>16.29</v>
      </c>
      <c r="F581" s="154">
        <f t="shared" si="34"/>
        <v>97.76</v>
      </c>
      <c r="G581" s="412"/>
      <c r="H581" s="253"/>
      <c r="I581" s="34"/>
      <c r="J581" s="253"/>
      <c r="K581" s="308"/>
      <c r="L581" s="253"/>
      <c r="M581" s="253"/>
      <c r="N581" s="253"/>
      <c r="O581" s="253"/>
      <c r="P581" s="253"/>
      <c r="Q581" s="253"/>
      <c r="R581" s="253"/>
      <c r="S581" s="253"/>
      <c r="Y581" s="89"/>
      <c r="BI581" s="89"/>
      <c r="BJ581" s="305"/>
    </row>
    <row r="582" spans="1:62" s="2" customFormat="1" ht="19.5" hidden="1" customHeight="1" x14ac:dyDescent="0.2">
      <c r="A582" s="404" t="s">
        <v>765</v>
      </c>
      <c r="B582" s="381" t="s">
        <v>683</v>
      </c>
      <c r="C582" s="379" t="s">
        <v>236</v>
      </c>
      <c r="D582" s="262">
        <v>28.83</v>
      </c>
      <c r="E582" s="96">
        <f t="shared" si="33"/>
        <v>5.77</v>
      </c>
      <c r="F582" s="154">
        <f t="shared" si="34"/>
        <v>34.6</v>
      </c>
      <c r="G582" s="412"/>
      <c r="H582" s="253"/>
      <c r="I582" s="34"/>
      <c r="J582" s="253"/>
      <c r="K582" s="308"/>
      <c r="L582" s="253"/>
      <c r="M582" s="253"/>
      <c r="N582" s="253"/>
      <c r="O582" s="253"/>
      <c r="P582" s="253"/>
      <c r="Q582" s="253"/>
      <c r="R582" s="253"/>
      <c r="S582" s="253"/>
      <c r="Y582" s="89"/>
      <c r="BI582" s="89"/>
      <c r="BJ582" s="305"/>
    </row>
    <row r="583" spans="1:62" s="2" customFormat="1" ht="24" hidden="1" customHeight="1" x14ac:dyDescent="0.2">
      <c r="A583" s="404" t="s">
        <v>766</v>
      </c>
      <c r="B583" s="381" t="s">
        <v>767</v>
      </c>
      <c r="C583" s="379" t="s">
        <v>236</v>
      </c>
      <c r="D583" s="262">
        <v>59.28</v>
      </c>
      <c r="E583" s="96">
        <f t="shared" si="33"/>
        <v>11.86</v>
      </c>
      <c r="F583" s="154">
        <f t="shared" si="34"/>
        <v>71.14</v>
      </c>
      <c r="G583" s="412"/>
      <c r="H583" s="253"/>
      <c r="I583" s="34"/>
      <c r="J583" s="253"/>
      <c r="K583" s="308"/>
      <c r="L583" s="253"/>
      <c r="M583" s="253"/>
      <c r="N583" s="253"/>
      <c r="O583" s="253"/>
      <c r="P583" s="253"/>
      <c r="Q583" s="253"/>
      <c r="R583" s="253"/>
      <c r="S583" s="253"/>
      <c r="Y583" s="89"/>
      <c r="BI583" s="89"/>
      <c r="BJ583" s="305"/>
    </row>
    <row r="584" spans="1:62" s="2" customFormat="1" ht="26.25" hidden="1" customHeight="1" x14ac:dyDescent="0.2">
      <c r="A584" s="404" t="s">
        <v>768</v>
      </c>
      <c r="B584" s="381" t="s">
        <v>769</v>
      </c>
      <c r="C584" s="379" t="s">
        <v>236</v>
      </c>
      <c r="D584" s="262">
        <v>121.13</v>
      </c>
      <c r="E584" s="96">
        <f t="shared" si="33"/>
        <v>24.23</v>
      </c>
      <c r="F584" s="154">
        <f t="shared" si="34"/>
        <v>145.36000000000001</v>
      </c>
      <c r="G584" s="412"/>
      <c r="H584" s="253"/>
      <c r="I584" s="34"/>
      <c r="J584" s="253"/>
      <c r="K584" s="308"/>
      <c r="L584" s="253"/>
      <c r="M584" s="253"/>
      <c r="N584" s="253"/>
      <c r="O584" s="253"/>
      <c r="P584" s="253"/>
      <c r="Q584" s="253"/>
      <c r="R584" s="253"/>
      <c r="S584" s="253"/>
      <c r="Y584" s="89"/>
      <c r="BI584" s="89"/>
      <c r="BJ584" s="305"/>
    </row>
    <row r="585" spans="1:62" s="2" customFormat="1" ht="26.25" hidden="1" customHeight="1" x14ac:dyDescent="0.2">
      <c r="A585" s="404" t="s">
        <v>770</v>
      </c>
      <c r="B585" s="381" t="s">
        <v>651</v>
      </c>
      <c r="C585" s="379" t="s">
        <v>236</v>
      </c>
      <c r="D585" s="262">
        <v>48.86</v>
      </c>
      <c r="E585" s="96">
        <f t="shared" si="33"/>
        <v>9.77</v>
      </c>
      <c r="F585" s="154">
        <f t="shared" si="34"/>
        <v>58.63</v>
      </c>
      <c r="G585" s="412"/>
      <c r="H585" s="253"/>
      <c r="I585" s="34"/>
      <c r="J585" s="253"/>
      <c r="K585" s="308"/>
      <c r="L585" s="253"/>
      <c r="M585" s="253"/>
      <c r="N585" s="253"/>
      <c r="O585" s="253"/>
      <c r="P585" s="253"/>
      <c r="Q585" s="253"/>
      <c r="R585" s="253"/>
      <c r="S585" s="253"/>
      <c r="Y585" s="89"/>
      <c r="BI585" s="89"/>
      <c r="BJ585" s="305"/>
    </row>
    <row r="586" spans="1:62" s="2" customFormat="1" ht="20.25" hidden="1" customHeight="1" x14ac:dyDescent="0.2">
      <c r="A586" s="404" t="s">
        <v>771</v>
      </c>
      <c r="B586" s="381" t="s">
        <v>772</v>
      </c>
      <c r="C586" s="379" t="s">
        <v>236</v>
      </c>
      <c r="D586" s="262">
        <v>288.93</v>
      </c>
      <c r="E586" s="96">
        <f t="shared" si="33"/>
        <v>57.79</v>
      </c>
      <c r="F586" s="154">
        <f t="shared" si="34"/>
        <v>346.72</v>
      </c>
      <c r="G586" s="412"/>
      <c r="H586" s="253"/>
      <c r="I586" s="34"/>
      <c r="J586" s="253"/>
      <c r="K586" s="308"/>
      <c r="L586" s="253"/>
      <c r="M586" s="253"/>
      <c r="N586" s="253"/>
      <c r="O586" s="253"/>
      <c r="P586" s="253"/>
      <c r="Q586" s="253"/>
      <c r="R586" s="253"/>
      <c r="S586" s="253"/>
      <c r="Y586" s="89"/>
      <c r="BI586" s="89"/>
      <c r="BJ586" s="305"/>
    </row>
    <row r="587" spans="1:62" s="2" customFormat="1" ht="21" hidden="1" customHeight="1" x14ac:dyDescent="0.2">
      <c r="A587" s="404" t="s">
        <v>773</v>
      </c>
      <c r="B587" s="381" t="s">
        <v>774</v>
      </c>
      <c r="C587" s="379" t="s">
        <v>236</v>
      </c>
      <c r="D587" s="262">
        <v>120.74</v>
      </c>
      <c r="E587" s="96">
        <f t="shared" si="33"/>
        <v>24.15</v>
      </c>
      <c r="F587" s="154">
        <f>D587+E587</f>
        <v>144.88999999999999</v>
      </c>
      <c r="G587" s="412"/>
      <c r="H587" s="253"/>
      <c r="I587" s="34"/>
      <c r="J587" s="253"/>
      <c r="K587" s="308"/>
      <c r="L587" s="253"/>
      <c r="M587" s="253"/>
      <c r="N587" s="253"/>
      <c r="O587" s="253"/>
      <c r="P587" s="253"/>
      <c r="Q587" s="253"/>
      <c r="R587" s="253"/>
      <c r="S587" s="253"/>
      <c r="Y587" s="89"/>
      <c r="BI587" s="89"/>
      <c r="BJ587" s="305"/>
    </row>
    <row r="588" spans="1:62" s="2" customFormat="1" ht="18.75" hidden="1" customHeight="1" x14ac:dyDescent="0.2">
      <c r="A588" s="404" t="s">
        <v>775</v>
      </c>
      <c r="B588" s="381" t="s">
        <v>776</v>
      </c>
      <c r="C588" s="379" t="s">
        <v>236</v>
      </c>
      <c r="D588" s="262">
        <v>128.02000000000001</v>
      </c>
      <c r="E588" s="96">
        <f t="shared" si="33"/>
        <v>25.6</v>
      </c>
      <c r="F588" s="154">
        <f>D588+E588</f>
        <v>153.62</v>
      </c>
      <c r="G588" s="412"/>
      <c r="H588" s="253"/>
      <c r="I588" s="34"/>
      <c r="J588" s="253"/>
      <c r="K588" s="308"/>
      <c r="L588" s="253"/>
      <c r="M588" s="253"/>
      <c r="N588" s="253"/>
      <c r="O588" s="253"/>
      <c r="P588" s="253"/>
      <c r="Q588" s="253"/>
      <c r="R588" s="253"/>
      <c r="S588" s="253"/>
      <c r="Y588" s="89"/>
      <c r="BI588" s="89"/>
      <c r="BJ588" s="305"/>
    </row>
    <row r="589" spans="1:62" s="2" customFormat="1" ht="24.75" hidden="1" customHeight="1" x14ac:dyDescent="0.2">
      <c r="A589" s="404" t="s">
        <v>777</v>
      </c>
      <c r="B589" s="381" t="s">
        <v>778</v>
      </c>
      <c r="C589" s="379" t="s">
        <v>236</v>
      </c>
      <c r="D589" s="262">
        <v>38.4</v>
      </c>
      <c r="E589" s="96">
        <f t="shared" si="33"/>
        <v>7.68</v>
      </c>
      <c r="F589" s="154">
        <f>D589+E589</f>
        <v>46.08</v>
      </c>
      <c r="G589" s="412"/>
      <c r="H589" s="253"/>
      <c r="I589" s="34"/>
      <c r="J589" s="253"/>
      <c r="K589" s="308"/>
      <c r="L589" s="253"/>
      <c r="M589" s="253"/>
      <c r="N589" s="253"/>
      <c r="O589" s="253"/>
      <c r="P589" s="253"/>
      <c r="Q589" s="253"/>
      <c r="R589" s="253"/>
      <c r="S589" s="253"/>
      <c r="Y589" s="89"/>
      <c r="BI589" s="89"/>
      <c r="BJ589" s="305"/>
    </row>
    <row r="590" spans="1:62" s="2" customFormat="1" ht="21.75" hidden="1" customHeight="1" x14ac:dyDescent="0.2">
      <c r="A590" s="108" t="s">
        <v>48</v>
      </c>
      <c r="B590" s="429" t="s">
        <v>779</v>
      </c>
      <c r="C590" s="429"/>
      <c r="D590" s="429"/>
      <c r="E590" s="429"/>
      <c r="F590" s="429"/>
      <c r="G590" s="412"/>
      <c r="H590" s="253"/>
      <c r="I590" s="34"/>
      <c r="J590" s="253"/>
      <c r="K590" s="308"/>
      <c r="L590" s="253"/>
      <c r="M590" s="253"/>
      <c r="N590" s="253"/>
      <c r="O590" s="253"/>
      <c r="P590" s="253"/>
      <c r="Q590" s="253"/>
      <c r="R590" s="253"/>
      <c r="S590" s="253"/>
      <c r="Y590" s="89"/>
      <c r="BI590" s="89"/>
      <c r="BJ590" s="305"/>
    </row>
    <row r="591" spans="1:62" s="2" customFormat="1" ht="46.5" hidden="1" customHeight="1" x14ac:dyDescent="0.2">
      <c r="A591" s="404" t="s">
        <v>780</v>
      </c>
      <c r="B591" s="98" t="s">
        <v>781</v>
      </c>
      <c r="C591" s="379" t="s">
        <v>236</v>
      </c>
      <c r="D591" s="262">
        <v>755.23</v>
      </c>
      <c r="E591" s="96">
        <f t="shared" ref="E591:E618" si="35">D591*20%</f>
        <v>151.05000000000001</v>
      </c>
      <c r="F591" s="154">
        <f t="shared" ref="F591:F616" si="36">D591+E591</f>
        <v>906.28</v>
      </c>
      <c r="G591" s="412"/>
      <c r="H591" s="253"/>
      <c r="I591" s="34"/>
      <c r="J591" s="253"/>
      <c r="K591" s="308"/>
      <c r="L591" s="253"/>
      <c r="M591" s="253"/>
      <c r="N591" s="253"/>
      <c r="O591" s="253"/>
      <c r="P591" s="253"/>
      <c r="Q591" s="253"/>
      <c r="R591" s="253"/>
      <c r="S591" s="253"/>
      <c r="Y591" s="89"/>
      <c r="BI591" s="89"/>
      <c r="BJ591" s="305"/>
    </row>
    <row r="592" spans="1:62" s="2" customFormat="1" ht="46.5" hidden="1" customHeight="1" x14ac:dyDescent="0.2">
      <c r="A592" s="404" t="s">
        <v>782</v>
      </c>
      <c r="B592" s="381" t="s">
        <v>783</v>
      </c>
      <c r="C592" s="379" t="s">
        <v>236</v>
      </c>
      <c r="D592" s="262">
        <v>608.89</v>
      </c>
      <c r="E592" s="96">
        <f t="shared" si="35"/>
        <v>121.78</v>
      </c>
      <c r="F592" s="154">
        <f t="shared" si="36"/>
        <v>730.67</v>
      </c>
      <c r="G592" s="412"/>
      <c r="H592" s="253"/>
      <c r="I592" s="34"/>
      <c r="J592" s="253"/>
      <c r="K592" s="308"/>
      <c r="L592" s="253"/>
      <c r="M592" s="253"/>
      <c r="N592" s="253"/>
      <c r="O592" s="253"/>
      <c r="P592" s="253"/>
      <c r="Q592" s="253"/>
      <c r="R592" s="253"/>
      <c r="S592" s="253"/>
      <c r="Y592" s="89"/>
      <c r="BI592" s="89"/>
      <c r="BJ592" s="305"/>
    </row>
    <row r="593" spans="1:62" s="2" customFormat="1" ht="37.5" hidden="1" customHeight="1" x14ac:dyDescent="0.2">
      <c r="A593" s="404" t="s">
        <v>784</v>
      </c>
      <c r="B593" s="381" t="s">
        <v>785</v>
      </c>
      <c r="C593" s="379" t="s">
        <v>236</v>
      </c>
      <c r="D593" s="262">
        <v>391</v>
      </c>
      <c r="E593" s="96">
        <f t="shared" si="35"/>
        <v>78.2</v>
      </c>
      <c r="F593" s="154">
        <f t="shared" si="36"/>
        <v>469.2</v>
      </c>
      <c r="G593" s="412"/>
      <c r="H593" s="253"/>
      <c r="I593" s="34"/>
      <c r="J593" s="253"/>
      <c r="K593" s="308"/>
      <c r="L593" s="253"/>
      <c r="M593" s="253"/>
      <c r="N593" s="253"/>
      <c r="O593" s="253"/>
      <c r="P593" s="253"/>
      <c r="Q593" s="253"/>
      <c r="R593" s="253"/>
      <c r="S593" s="253"/>
      <c r="Y593" s="89"/>
      <c r="BI593" s="89"/>
      <c r="BJ593" s="305"/>
    </row>
    <row r="594" spans="1:62" s="2" customFormat="1" ht="33" hidden="1" customHeight="1" x14ac:dyDescent="0.2">
      <c r="A594" s="404" t="s">
        <v>786</v>
      </c>
      <c r="B594" s="381" t="s">
        <v>787</v>
      </c>
      <c r="C594" s="379" t="s">
        <v>236</v>
      </c>
      <c r="D594" s="262">
        <v>342</v>
      </c>
      <c r="E594" s="96">
        <f t="shared" si="35"/>
        <v>68.400000000000006</v>
      </c>
      <c r="F594" s="154">
        <f t="shared" si="36"/>
        <v>410.4</v>
      </c>
      <c r="G594" s="412"/>
      <c r="H594" s="253"/>
      <c r="I594" s="34"/>
      <c r="J594" s="253"/>
      <c r="K594" s="308"/>
      <c r="L594" s="253"/>
      <c r="M594" s="253"/>
      <c r="N594" s="253"/>
      <c r="O594" s="253"/>
      <c r="P594" s="253"/>
      <c r="Q594" s="253"/>
      <c r="R594" s="253"/>
      <c r="S594" s="253"/>
      <c r="Y594" s="89"/>
      <c r="BI594" s="89"/>
      <c r="BJ594" s="305"/>
    </row>
    <row r="595" spans="1:62" s="2" customFormat="1" ht="35.25" hidden="1" customHeight="1" x14ac:dyDescent="0.2">
      <c r="A595" s="404" t="s">
        <v>788</v>
      </c>
      <c r="B595" s="381" t="s">
        <v>789</v>
      </c>
      <c r="C595" s="379" t="s">
        <v>236</v>
      </c>
      <c r="D595" s="262">
        <v>593.16999999999996</v>
      </c>
      <c r="E595" s="96">
        <f t="shared" si="35"/>
        <v>118.63</v>
      </c>
      <c r="F595" s="154">
        <f t="shared" si="36"/>
        <v>711.8</v>
      </c>
      <c r="G595" s="412"/>
      <c r="H595" s="253"/>
      <c r="I595" s="34"/>
      <c r="J595" s="253"/>
      <c r="K595" s="308"/>
      <c r="L595" s="253"/>
      <c r="M595" s="253"/>
      <c r="N595" s="253"/>
      <c r="O595" s="253"/>
      <c r="P595" s="253"/>
      <c r="Q595" s="253"/>
      <c r="R595" s="253"/>
      <c r="S595" s="253"/>
      <c r="Y595" s="89"/>
      <c r="BI595" s="89"/>
      <c r="BJ595" s="305"/>
    </row>
    <row r="596" spans="1:62" s="2" customFormat="1" ht="32.25" hidden="1" customHeight="1" x14ac:dyDescent="0.2">
      <c r="A596" s="404" t="s">
        <v>790</v>
      </c>
      <c r="B596" s="381" t="s">
        <v>305</v>
      </c>
      <c r="C596" s="379" t="s">
        <v>236</v>
      </c>
      <c r="D596" s="262">
        <v>407.77</v>
      </c>
      <c r="E596" s="96">
        <f t="shared" si="35"/>
        <v>81.55</v>
      </c>
      <c r="F596" s="154">
        <f t="shared" si="36"/>
        <v>489.32</v>
      </c>
      <c r="G596" s="412"/>
      <c r="H596" s="253"/>
      <c r="I596" s="34"/>
      <c r="J596" s="253"/>
      <c r="K596" s="308"/>
      <c r="L596" s="253"/>
      <c r="M596" s="253"/>
      <c r="N596" s="253"/>
      <c r="O596" s="253"/>
      <c r="P596" s="253"/>
      <c r="Q596" s="253"/>
      <c r="R596" s="253"/>
      <c r="S596" s="253"/>
      <c r="Y596" s="89"/>
      <c r="BI596" s="89"/>
      <c r="BJ596" s="305"/>
    </row>
    <row r="597" spans="1:62" s="2" customFormat="1" ht="46.5" hidden="1" customHeight="1" x14ac:dyDescent="0.2">
      <c r="A597" s="404" t="s">
        <v>791</v>
      </c>
      <c r="B597" s="408" t="s">
        <v>792</v>
      </c>
      <c r="C597" s="379" t="s">
        <v>236</v>
      </c>
      <c r="D597" s="262">
        <v>299.85000000000002</v>
      </c>
      <c r="E597" s="96">
        <f t="shared" si="35"/>
        <v>59.97</v>
      </c>
      <c r="F597" s="154">
        <f t="shared" si="36"/>
        <v>359.82</v>
      </c>
      <c r="G597" s="412"/>
      <c r="H597" s="253"/>
      <c r="I597" s="34"/>
      <c r="J597" s="253"/>
      <c r="K597" s="308"/>
      <c r="L597" s="253"/>
      <c r="M597" s="253"/>
      <c r="N597" s="253"/>
      <c r="O597" s="253"/>
      <c r="P597" s="253"/>
      <c r="Q597" s="253"/>
      <c r="R597" s="253"/>
      <c r="S597" s="253"/>
      <c r="Y597" s="89"/>
      <c r="BI597" s="89"/>
      <c r="BJ597" s="305"/>
    </row>
    <row r="598" spans="1:62" s="2" customFormat="1" ht="32.25" hidden="1" customHeight="1" x14ac:dyDescent="0.2">
      <c r="A598" s="404" t="s">
        <v>793</v>
      </c>
      <c r="B598" s="408" t="s">
        <v>794</v>
      </c>
      <c r="C598" s="379" t="s">
        <v>236</v>
      </c>
      <c r="D598" s="262">
        <v>59.11</v>
      </c>
      <c r="E598" s="96">
        <f t="shared" si="35"/>
        <v>11.82</v>
      </c>
      <c r="F598" s="154">
        <f t="shared" si="36"/>
        <v>70.930000000000007</v>
      </c>
      <c r="G598" s="412"/>
      <c r="H598" s="253"/>
      <c r="I598" s="34"/>
      <c r="J598" s="253"/>
      <c r="K598" s="308"/>
      <c r="L598" s="253"/>
      <c r="M598" s="253"/>
      <c r="N598" s="253"/>
      <c r="O598" s="253"/>
      <c r="P598" s="253"/>
      <c r="Q598" s="253"/>
      <c r="R598" s="253"/>
      <c r="S598" s="253"/>
      <c r="Y598" s="89"/>
      <c r="BI598" s="89"/>
      <c r="BJ598" s="305"/>
    </row>
    <row r="599" spans="1:62" s="2" customFormat="1" ht="20.25" hidden="1" customHeight="1" x14ac:dyDescent="0.2">
      <c r="A599" s="404" t="s">
        <v>795</v>
      </c>
      <c r="B599" s="408" t="s">
        <v>796</v>
      </c>
      <c r="C599" s="379" t="s">
        <v>236</v>
      </c>
      <c r="D599" s="262">
        <v>37.4</v>
      </c>
      <c r="E599" s="96">
        <f t="shared" si="35"/>
        <v>7.48</v>
      </c>
      <c r="F599" s="154">
        <f t="shared" si="36"/>
        <v>44.88</v>
      </c>
      <c r="G599" s="412"/>
      <c r="H599" s="253"/>
      <c r="I599" s="34"/>
      <c r="J599" s="253"/>
      <c r="K599" s="308"/>
      <c r="L599" s="253"/>
      <c r="M599" s="253"/>
      <c r="N599" s="253"/>
      <c r="O599" s="253"/>
      <c r="P599" s="253"/>
      <c r="Q599" s="253"/>
      <c r="R599" s="253"/>
      <c r="S599" s="253"/>
      <c r="Y599" s="89"/>
      <c r="BI599" s="89"/>
      <c r="BJ599" s="305"/>
    </row>
    <row r="600" spans="1:62" s="2" customFormat="1" ht="20.25" hidden="1" customHeight="1" x14ac:dyDescent="0.2">
      <c r="A600" s="404" t="s">
        <v>797</v>
      </c>
      <c r="B600" s="408" t="s">
        <v>798</v>
      </c>
      <c r="C600" s="379" t="s">
        <v>236</v>
      </c>
      <c r="D600" s="262">
        <v>104.6</v>
      </c>
      <c r="E600" s="96">
        <f t="shared" si="35"/>
        <v>20.92</v>
      </c>
      <c r="F600" s="154">
        <f t="shared" si="36"/>
        <v>125.52</v>
      </c>
      <c r="G600" s="412"/>
      <c r="H600" s="253"/>
      <c r="I600" s="34"/>
      <c r="J600" s="253"/>
      <c r="K600" s="308"/>
      <c r="L600" s="253"/>
      <c r="M600" s="253"/>
      <c r="N600" s="253"/>
      <c r="O600" s="253"/>
      <c r="P600" s="253"/>
      <c r="Q600" s="253"/>
      <c r="R600" s="253"/>
      <c r="S600" s="253"/>
      <c r="Y600" s="89"/>
      <c r="BI600" s="89"/>
      <c r="BJ600" s="305"/>
    </row>
    <row r="601" spans="1:62" s="2" customFormat="1" ht="23.25" hidden="1" customHeight="1" x14ac:dyDescent="0.2">
      <c r="A601" s="404" t="s">
        <v>799</v>
      </c>
      <c r="B601" s="408" t="s">
        <v>800</v>
      </c>
      <c r="C601" s="379" t="s">
        <v>236</v>
      </c>
      <c r="D601" s="262">
        <v>60.2</v>
      </c>
      <c r="E601" s="96">
        <f t="shared" si="35"/>
        <v>12.04</v>
      </c>
      <c r="F601" s="154">
        <f t="shared" si="36"/>
        <v>72.239999999999995</v>
      </c>
      <c r="G601" s="412"/>
      <c r="H601" s="253"/>
      <c r="I601" s="34"/>
      <c r="J601" s="253"/>
      <c r="K601" s="308"/>
      <c r="L601" s="253"/>
      <c r="M601" s="253"/>
      <c r="N601" s="253"/>
      <c r="O601" s="253"/>
      <c r="P601" s="253"/>
      <c r="Q601" s="253"/>
      <c r="R601" s="253"/>
      <c r="S601" s="253"/>
      <c r="Y601" s="89"/>
      <c r="BI601" s="89"/>
      <c r="BJ601" s="305"/>
    </row>
    <row r="602" spans="1:62" s="2" customFormat="1" ht="17.25" hidden="1" customHeight="1" x14ac:dyDescent="0.2">
      <c r="A602" s="404" t="s">
        <v>801</v>
      </c>
      <c r="B602" s="408" t="s">
        <v>743</v>
      </c>
      <c r="C602" s="379" t="s">
        <v>236</v>
      </c>
      <c r="D602" s="262">
        <v>43.8</v>
      </c>
      <c r="E602" s="96">
        <f t="shared" si="35"/>
        <v>8.76</v>
      </c>
      <c r="F602" s="154">
        <f t="shared" si="36"/>
        <v>52.56</v>
      </c>
      <c r="G602" s="412"/>
      <c r="H602" s="253"/>
      <c r="I602" s="34"/>
      <c r="J602" s="253"/>
      <c r="K602" s="308"/>
      <c r="L602" s="253"/>
      <c r="M602" s="253"/>
      <c r="N602" s="253"/>
      <c r="O602" s="253"/>
      <c r="P602" s="253"/>
      <c r="Q602" s="253"/>
      <c r="R602" s="253"/>
      <c r="S602" s="253"/>
      <c r="Y602" s="89"/>
      <c r="BI602" s="89"/>
      <c r="BJ602" s="305"/>
    </row>
    <row r="603" spans="1:62" s="2" customFormat="1" ht="21" hidden="1" customHeight="1" x14ac:dyDescent="0.2">
      <c r="A603" s="404" t="s">
        <v>802</v>
      </c>
      <c r="B603" s="408" t="s">
        <v>803</v>
      </c>
      <c r="C603" s="379" t="s">
        <v>236</v>
      </c>
      <c r="D603" s="262">
        <v>106</v>
      </c>
      <c r="E603" s="96">
        <f t="shared" si="35"/>
        <v>21.2</v>
      </c>
      <c r="F603" s="154">
        <f t="shared" si="36"/>
        <v>127.2</v>
      </c>
      <c r="G603" s="412"/>
      <c r="H603" s="253"/>
      <c r="I603" s="34"/>
      <c r="J603" s="253"/>
      <c r="K603" s="308"/>
      <c r="L603" s="253"/>
      <c r="M603" s="253"/>
      <c r="N603" s="253"/>
      <c r="O603" s="253"/>
      <c r="P603" s="253"/>
      <c r="Q603" s="253"/>
      <c r="R603" s="253"/>
      <c r="S603" s="253"/>
      <c r="Y603" s="89"/>
      <c r="BI603" s="89"/>
      <c r="BJ603" s="305"/>
    </row>
    <row r="604" spans="1:62" s="2" customFormat="1" ht="20.25" hidden="1" customHeight="1" x14ac:dyDescent="0.2">
      <c r="A604" s="404" t="s">
        <v>804</v>
      </c>
      <c r="B604" s="408" t="s">
        <v>805</v>
      </c>
      <c r="C604" s="379" t="s">
        <v>236</v>
      </c>
      <c r="D604" s="262">
        <v>123</v>
      </c>
      <c r="E604" s="96">
        <f t="shared" si="35"/>
        <v>24.6</v>
      </c>
      <c r="F604" s="154">
        <f t="shared" si="36"/>
        <v>147.6</v>
      </c>
      <c r="G604" s="412"/>
      <c r="H604" s="253"/>
      <c r="I604" s="34"/>
      <c r="J604" s="253"/>
      <c r="K604" s="308"/>
      <c r="L604" s="253"/>
      <c r="M604" s="253"/>
      <c r="N604" s="253"/>
      <c r="O604" s="253"/>
      <c r="P604" s="253"/>
      <c r="Q604" s="253"/>
      <c r="R604" s="253"/>
      <c r="S604" s="253"/>
      <c r="Y604" s="89"/>
      <c r="BI604" s="89"/>
      <c r="BJ604" s="305"/>
    </row>
    <row r="605" spans="1:62" s="2" customFormat="1" ht="18.75" hidden="1" customHeight="1" x14ac:dyDescent="0.2">
      <c r="A605" s="404" t="s">
        <v>806</v>
      </c>
      <c r="B605" s="408" t="s">
        <v>807</v>
      </c>
      <c r="C605" s="379" t="s">
        <v>236</v>
      </c>
      <c r="D605" s="262">
        <v>78.3</v>
      </c>
      <c r="E605" s="96">
        <f t="shared" si="35"/>
        <v>15.66</v>
      </c>
      <c r="F605" s="154">
        <f t="shared" si="36"/>
        <v>93.96</v>
      </c>
      <c r="G605" s="412"/>
      <c r="H605" s="253"/>
      <c r="I605" s="34"/>
      <c r="J605" s="253"/>
      <c r="K605" s="308"/>
      <c r="L605" s="253"/>
      <c r="M605" s="253"/>
      <c r="N605" s="253"/>
      <c r="O605" s="253"/>
      <c r="P605" s="253"/>
      <c r="Q605" s="253"/>
      <c r="R605" s="253"/>
      <c r="S605" s="253"/>
      <c r="Y605" s="89"/>
      <c r="BI605" s="89"/>
      <c r="BJ605" s="305"/>
    </row>
    <row r="606" spans="1:62" s="2" customFormat="1" ht="33.75" hidden="1" customHeight="1" x14ac:dyDescent="0.2">
      <c r="A606" s="404" t="s">
        <v>808</v>
      </c>
      <c r="B606" s="408" t="s">
        <v>809</v>
      </c>
      <c r="C606" s="379" t="s">
        <v>236</v>
      </c>
      <c r="D606" s="262">
        <v>83.4</v>
      </c>
      <c r="E606" s="96">
        <f t="shared" si="35"/>
        <v>16.68</v>
      </c>
      <c r="F606" s="154">
        <f t="shared" si="36"/>
        <v>100.08</v>
      </c>
      <c r="G606" s="412"/>
      <c r="H606" s="253"/>
      <c r="I606" s="34"/>
      <c r="J606" s="253"/>
      <c r="K606" s="308"/>
      <c r="L606" s="253"/>
      <c r="M606" s="253"/>
      <c r="N606" s="253"/>
      <c r="O606" s="253"/>
      <c r="P606" s="253"/>
      <c r="Q606" s="253"/>
      <c r="R606" s="253"/>
      <c r="S606" s="253"/>
      <c r="Y606" s="89"/>
      <c r="BI606" s="89"/>
      <c r="BJ606" s="305"/>
    </row>
    <row r="607" spans="1:62" s="2" customFormat="1" ht="19.5" hidden="1" customHeight="1" x14ac:dyDescent="0.2">
      <c r="A607" s="404" t="s">
        <v>810</v>
      </c>
      <c r="B607" s="408" t="s">
        <v>811</v>
      </c>
      <c r="C607" s="379" t="s">
        <v>236</v>
      </c>
      <c r="D607" s="262">
        <v>56.2</v>
      </c>
      <c r="E607" s="96">
        <f t="shared" si="35"/>
        <v>11.24</v>
      </c>
      <c r="F607" s="154">
        <f t="shared" si="36"/>
        <v>67.44</v>
      </c>
      <c r="G607" s="412"/>
      <c r="H607" s="253"/>
      <c r="I607" s="34"/>
      <c r="J607" s="253"/>
      <c r="K607" s="308"/>
      <c r="L607" s="253"/>
      <c r="M607" s="253"/>
      <c r="N607" s="253"/>
      <c r="O607" s="253"/>
      <c r="P607" s="253"/>
      <c r="Q607" s="253"/>
      <c r="R607" s="253"/>
      <c r="S607" s="253"/>
      <c r="Y607" s="89"/>
      <c r="BI607" s="89"/>
      <c r="BJ607" s="305"/>
    </row>
    <row r="608" spans="1:62" s="2" customFormat="1" ht="15.75" hidden="1" customHeight="1" x14ac:dyDescent="0.2">
      <c r="A608" s="404" t="s">
        <v>812</v>
      </c>
      <c r="B608" s="408" t="s">
        <v>813</v>
      </c>
      <c r="C608" s="379" t="s">
        <v>236</v>
      </c>
      <c r="D608" s="262">
        <v>63.6</v>
      </c>
      <c r="E608" s="96">
        <f t="shared" si="35"/>
        <v>12.72</v>
      </c>
      <c r="F608" s="154">
        <f t="shared" si="36"/>
        <v>76.319999999999993</v>
      </c>
      <c r="G608" s="412"/>
      <c r="H608" s="253"/>
      <c r="I608" s="34"/>
      <c r="J608" s="253"/>
      <c r="K608" s="308"/>
      <c r="L608" s="253"/>
      <c r="M608" s="253"/>
      <c r="N608" s="253"/>
      <c r="O608" s="253"/>
      <c r="P608" s="253"/>
      <c r="Q608" s="253"/>
      <c r="R608" s="253"/>
      <c r="S608" s="253"/>
      <c r="Y608" s="89"/>
      <c r="BI608" s="89"/>
      <c r="BJ608" s="305"/>
    </row>
    <row r="609" spans="1:62" s="2" customFormat="1" ht="18.75" hidden="1" customHeight="1" x14ac:dyDescent="0.2">
      <c r="A609" s="404" t="s">
        <v>814</v>
      </c>
      <c r="B609" s="408" t="s">
        <v>815</v>
      </c>
      <c r="C609" s="379" t="s">
        <v>236</v>
      </c>
      <c r="D609" s="262">
        <v>44.9</v>
      </c>
      <c r="E609" s="96">
        <f t="shared" si="35"/>
        <v>8.98</v>
      </c>
      <c r="F609" s="154">
        <f t="shared" si="36"/>
        <v>53.88</v>
      </c>
      <c r="G609" s="412"/>
      <c r="H609" s="253"/>
      <c r="I609" s="34"/>
      <c r="J609" s="253"/>
      <c r="K609" s="308"/>
      <c r="L609" s="253"/>
      <c r="M609" s="253"/>
      <c r="N609" s="253"/>
      <c r="O609" s="253"/>
      <c r="P609" s="253"/>
      <c r="Q609" s="253"/>
      <c r="R609" s="253"/>
      <c r="S609" s="253"/>
      <c r="Y609" s="89"/>
      <c r="BI609" s="89"/>
      <c r="BJ609" s="305"/>
    </row>
    <row r="610" spans="1:62" s="2" customFormat="1" ht="16.5" hidden="1" customHeight="1" x14ac:dyDescent="0.2">
      <c r="A610" s="404" t="s">
        <v>816</v>
      </c>
      <c r="B610" s="408" t="s">
        <v>817</v>
      </c>
      <c r="C610" s="379" t="s">
        <v>236</v>
      </c>
      <c r="D610" s="262">
        <v>56.3</v>
      </c>
      <c r="E610" s="96">
        <f t="shared" si="35"/>
        <v>11.26</v>
      </c>
      <c r="F610" s="154">
        <f t="shared" si="36"/>
        <v>67.56</v>
      </c>
      <c r="G610" s="412"/>
      <c r="H610" s="253"/>
      <c r="I610" s="34"/>
      <c r="J610" s="253"/>
      <c r="K610" s="308"/>
      <c r="L610" s="253"/>
      <c r="M610" s="253"/>
      <c r="N610" s="253"/>
      <c r="O610" s="253"/>
      <c r="P610" s="253"/>
      <c r="Q610" s="253"/>
      <c r="R610" s="253"/>
      <c r="S610" s="253"/>
      <c r="Y610" s="89"/>
      <c r="BI610" s="89"/>
      <c r="BJ610" s="305"/>
    </row>
    <row r="611" spans="1:62" s="2" customFormat="1" ht="21" hidden="1" customHeight="1" x14ac:dyDescent="0.2">
      <c r="A611" s="404" t="s">
        <v>818</v>
      </c>
      <c r="B611" s="408" t="s">
        <v>819</v>
      </c>
      <c r="C611" s="379" t="s">
        <v>236</v>
      </c>
      <c r="D611" s="414">
        <v>904.28</v>
      </c>
      <c r="E611" s="96">
        <f t="shared" si="35"/>
        <v>180.86</v>
      </c>
      <c r="F611" s="154">
        <f t="shared" si="36"/>
        <v>1085.1400000000001</v>
      </c>
      <c r="G611" s="412"/>
      <c r="H611" s="253"/>
      <c r="I611" s="34"/>
      <c r="J611" s="253"/>
      <c r="K611" s="308"/>
      <c r="L611" s="253"/>
      <c r="M611" s="253"/>
      <c r="N611" s="253"/>
      <c r="O611" s="253"/>
      <c r="P611" s="253"/>
      <c r="Q611" s="253"/>
      <c r="R611" s="253"/>
      <c r="S611" s="253"/>
      <c r="Y611" s="89"/>
      <c r="BI611" s="89"/>
      <c r="BJ611" s="305"/>
    </row>
    <row r="612" spans="1:62" s="2" customFormat="1" ht="26.25" hidden="1" customHeight="1" x14ac:dyDescent="0.2">
      <c r="A612" s="404" t="s">
        <v>820</v>
      </c>
      <c r="B612" s="408" t="s">
        <v>821</v>
      </c>
      <c r="C612" s="379" t="s">
        <v>236</v>
      </c>
      <c r="D612" s="262">
        <v>94.5</v>
      </c>
      <c r="E612" s="96">
        <f t="shared" si="35"/>
        <v>18.899999999999999</v>
      </c>
      <c r="F612" s="154">
        <f t="shared" si="36"/>
        <v>113.4</v>
      </c>
      <c r="G612" s="412"/>
      <c r="H612" s="253"/>
      <c r="I612" s="34"/>
      <c r="J612" s="253"/>
      <c r="K612" s="308"/>
      <c r="L612" s="253"/>
      <c r="M612" s="253"/>
      <c r="N612" s="253"/>
      <c r="O612" s="253"/>
      <c r="P612" s="253"/>
      <c r="Q612" s="253"/>
      <c r="R612" s="253"/>
      <c r="S612" s="253"/>
      <c r="Y612" s="89"/>
      <c r="BI612" s="89"/>
      <c r="BJ612" s="305"/>
    </row>
    <row r="613" spans="1:62" s="2" customFormat="1" ht="28.5" hidden="1" customHeight="1" x14ac:dyDescent="0.2">
      <c r="A613" s="404" t="s">
        <v>822</v>
      </c>
      <c r="B613" s="408" t="s">
        <v>823</v>
      </c>
      <c r="C613" s="379" t="s">
        <v>236</v>
      </c>
      <c r="D613" s="262">
        <v>59.2</v>
      </c>
      <c r="E613" s="96">
        <f t="shared" si="35"/>
        <v>11.84</v>
      </c>
      <c r="F613" s="154">
        <f t="shared" si="36"/>
        <v>71.040000000000006</v>
      </c>
      <c r="G613" s="412"/>
      <c r="H613" s="253"/>
      <c r="I613" s="34"/>
      <c r="J613" s="253"/>
      <c r="K613" s="308"/>
      <c r="L613" s="253"/>
      <c r="M613" s="253"/>
      <c r="N613" s="253"/>
      <c r="O613" s="253"/>
      <c r="P613" s="253"/>
      <c r="Q613" s="253"/>
      <c r="R613" s="253"/>
      <c r="S613" s="253"/>
      <c r="Y613" s="89"/>
      <c r="BI613" s="89"/>
      <c r="BJ613" s="305"/>
    </row>
    <row r="614" spans="1:62" s="2" customFormat="1" ht="21" hidden="1" customHeight="1" x14ac:dyDescent="0.2">
      <c r="A614" s="404" t="s">
        <v>824</v>
      </c>
      <c r="B614" s="408" t="s">
        <v>825</v>
      </c>
      <c r="C614" s="379" t="s">
        <v>236</v>
      </c>
      <c r="D614" s="262">
        <v>31.5</v>
      </c>
      <c r="E614" s="96">
        <f t="shared" si="35"/>
        <v>6.3</v>
      </c>
      <c r="F614" s="154">
        <f t="shared" si="36"/>
        <v>37.799999999999997</v>
      </c>
      <c r="G614" s="412"/>
      <c r="H614" s="253"/>
      <c r="I614" s="34"/>
      <c r="J614" s="253"/>
      <c r="K614" s="308"/>
      <c r="L614" s="253"/>
      <c r="M614" s="253"/>
      <c r="N614" s="253"/>
      <c r="O614" s="253"/>
      <c r="P614" s="253"/>
      <c r="Q614" s="253"/>
      <c r="R614" s="253"/>
      <c r="S614" s="253"/>
      <c r="Y614" s="89"/>
      <c r="BI614" s="89"/>
      <c r="BJ614" s="305"/>
    </row>
    <row r="615" spans="1:62" s="2" customFormat="1" ht="22.5" hidden="1" customHeight="1" x14ac:dyDescent="0.2">
      <c r="A615" s="404" t="s">
        <v>826</v>
      </c>
      <c r="B615" s="408" t="s">
        <v>827</v>
      </c>
      <c r="C615" s="379" t="s">
        <v>236</v>
      </c>
      <c r="D615" s="262">
        <v>41.2</v>
      </c>
      <c r="E615" s="96">
        <f t="shared" si="35"/>
        <v>8.24</v>
      </c>
      <c r="F615" s="154">
        <f t="shared" si="36"/>
        <v>49.44</v>
      </c>
      <c r="G615" s="412"/>
      <c r="H615" s="253"/>
      <c r="I615" s="34"/>
      <c r="J615" s="253"/>
      <c r="K615" s="308"/>
      <c r="L615" s="253"/>
      <c r="M615" s="253"/>
      <c r="N615" s="253"/>
      <c r="O615" s="253"/>
      <c r="P615" s="253"/>
      <c r="Q615" s="253"/>
      <c r="R615" s="253"/>
      <c r="S615" s="253"/>
      <c r="Y615" s="89"/>
      <c r="BI615" s="89"/>
      <c r="BJ615" s="305"/>
    </row>
    <row r="616" spans="1:62" s="2" customFormat="1" ht="27" hidden="1" customHeight="1" x14ac:dyDescent="0.2">
      <c r="A616" s="404" t="s">
        <v>828</v>
      </c>
      <c r="B616" s="408" t="s">
        <v>829</v>
      </c>
      <c r="C616" s="379" t="s">
        <v>236</v>
      </c>
      <c r="D616" s="262">
        <v>39.5</v>
      </c>
      <c r="E616" s="96">
        <f t="shared" si="35"/>
        <v>7.9</v>
      </c>
      <c r="F616" s="154">
        <f t="shared" si="36"/>
        <v>47.4</v>
      </c>
      <c r="G616" s="412"/>
      <c r="H616" s="253"/>
      <c r="I616" s="34"/>
      <c r="J616" s="253"/>
      <c r="K616" s="308"/>
      <c r="L616" s="253"/>
      <c r="M616" s="253"/>
      <c r="N616" s="253"/>
      <c r="O616" s="253"/>
      <c r="P616" s="253"/>
      <c r="Q616" s="253"/>
      <c r="R616" s="253"/>
      <c r="S616" s="253"/>
      <c r="Y616" s="89"/>
      <c r="BI616" s="89"/>
      <c r="BJ616" s="305"/>
    </row>
    <row r="617" spans="1:62" s="2" customFormat="1" ht="17.25" hidden="1" customHeight="1" x14ac:dyDescent="0.2">
      <c r="A617" s="404" t="s">
        <v>830</v>
      </c>
      <c r="B617" s="408" t="s">
        <v>831</v>
      </c>
      <c r="C617" s="379" t="s">
        <v>236</v>
      </c>
      <c r="D617" s="262">
        <v>79.27</v>
      </c>
      <c r="E617" s="96">
        <f t="shared" si="35"/>
        <v>15.85</v>
      </c>
      <c r="F617" s="154">
        <f>D617+E617</f>
        <v>95.12</v>
      </c>
      <c r="G617" s="412"/>
      <c r="H617" s="253"/>
      <c r="I617" s="34"/>
      <c r="J617" s="253"/>
      <c r="K617" s="308"/>
      <c r="L617" s="253"/>
      <c r="M617" s="253"/>
      <c r="N617" s="253"/>
      <c r="O617" s="253"/>
      <c r="P617" s="253"/>
      <c r="Q617" s="253"/>
      <c r="R617" s="253"/>
      <c r="S617" s="253"/>
      <c r="Y617" s="89"/>
      <c r="BI617" s="89"/>
      <c r="BJ617" s="305"/>
    </row>
    <row r="618" spans="1:62" s="2" customFormat="1" ht="18.75" hidden="1" customHeight="1" x14ac:dyDescent="0.2">
      <c r="A618" s="404" t="s">
        <v>832</v>
      </c>
      <c r="B618" s="408" t="s">
        <v>833</v>
      </c>
      <c r="C618" s="379" t="s">
        <v>236</v>
      </c>
      <c r="D618" s="262">
        <v>59.2</v>
      </c>
      <c r="E618" s="96">
        <f t="shared" si="35"/>
        <v>11.84</v>
      </c>
      <c r="F618" s="154">
        <f>D618+E618</f>
        <v>71.040000000000006</v>
      </c>
      <c r="G618" s="412"/>
      <c r="H618" s="253"/>
      <c r="I618" s="34"/>
      <c r="J618" s="253"/>
      <c r="K618" s="308"/>
      <c r="L618" s="253"/>
      <c r="M618" s="253"/>
      <c r="N618" s="253"/>
      <c r="O618" s="253"/>
      <c r="P618" s="253"/>
      <c r="Q618" s="253"/>
      <c r="R618" s="253"/>
      <c r="S618" s="253"/>
      <c r="Y618" s="89"/>
      <c r="BI618" s="89"/>
      <c r="BJ618" s="305"/>
    </row>
    <row r="619" spans="1:62" s="2" customFormat="1" ht="18" hidden="1" customHeight="1" x14ac:dyDescent="0.2">
      <c r="A619" s="380" t="s">
        <v>50</v>
      </c>
      <c r="B619" s="429" t="s">
        <v>834</v>
      </c>
      <c r="C619" s="429"/>
      <c r="D619" s="429"/>
      <c r="E619" s="429"/>
      <c r="F619" s="429"/>
      <c r="G619" s="412"/>
      <c r="H619" s="253"/>
      <c r="I619" s="34"/>
      <c r="J619" s="253"/>
      <c r="K619" s="308"/>
      <c r="L619" s="253"/>
      <c r="M619" s="253"/>
      <c r="N619" s="253"/>
      <c r="O619" s="253"/>
      <c r="P619" s="253"/>
      <c r="Q619" s="253"/>
      <c r="R619" s="253"/>
      <c r="S619" s="253"/>
      <c r="Y619" s="89"/>
      <c r="BI619" s="89"/>
      <c r="BJ619" s="305"/>
    </row>
    <row r="620" spans="1:62" s="2" customFormat="1" ht="36" hidden="1" customHeight="1" x14ac:dyDescent="0.2">
      <c r="A620" s="405" t="s">
        <v>835</v>
      </c>
      <c r="B620" s="381" t="s">
        <v>836</v>
      </c>
      <c r="C620" s="379" t="s">
        <v>236</v>
      </c>
      <c r="D620" s="262">
        <v>138.41</v>
      </c>
      <c r="E620" s="96">
        <f>D620*20%</f>
        <v>27.68</v>
      </c>
      <c r="F620" s="154">
        <f>D620+E620</f>
        <v>166.09</v>
      </c>
      <c r="G620" s="412"/>
      <c r="H620" s="253"/>
      <c r="I620" s="34"/>
      <c r="J620" s="253"/>
      <c r="K620" s="308"/>
      <c r="L620" s="253"/>
      <c r="M620" s="253"/>
      <c r="N620" s="253"/>
      <c r="O620" s="253"/>
      <c r="P620" s="253"/>
      <c r="Q620" s="253"/>
      <c r="R620" s="253"/>
      <c r="S620" s="253"/>
      <c r="Y620" s="89"/>
      <c r="BI620" s="89"/>
      <c r="BJ620" s="305"/>
    </row>
    <row r="621" spans="1:62" s="2" customFormat="1" ht="17.25" hidden="1" customHeight="1" x14ac:dyDescent="0.2">
      <c r="A621" s="405" t="s">
        <v>837</v>
      </c>
      <c r="B621" s="381" t="s">
        <v>838</v>
      </c>
      <c r="C621" s="379" t="s">
        <v>236</v>
      </c>
      <c r="D621" s="262">
        <v>138.41</v>
      </c>
      <c r="E621" s="96">
        <f>D621*20%</f>
        <v>27.68</v>
      </c>
      <c r="F621" s="154">
        <f>D621+E621</f>
        <v>166.09</v>
      </c>
      <c r="G621" s="412"/>
      <c r="H621" s="253"/>
      <c r="I621" s="34"/>
      <c r="J621" s="253"/>
      <c r="K621" s="308"/>
      <c r="L621" s="253"/>
      <c r="M621" s="253"/>
      <c r="N621" s="253"/>
      <c r="O621" s="253"/>
      <c r="P621" s="253"/>
      <c r="Q621" s="253"/>
      <c r="R621" s="253"/>
      <c r="S621" s="253"/>
      <c r="Y621" s="89"/>
      <c r="BI621" s="89"/>
      <c r="BJ621" s="305"/>
    </row>
    <row r="622" spans="1:62" s="2" customFormat="1" ht="46.5" hidden="1" customHeight="1" x14ac:dyDescent="0.2">
      <c r="A622" s="405" t="s">
        <v>839</v>
      </c>
      <c r="B622" s="381" t="s">
        <v>840</v>
      </c>
      <c r="C622" s="379" t="s">
        <v>236</v>
      </c>
      <c r="D622" s="262">
        <v>93.41</v>
      </c>
      <c r="E622" s="96">
        <f>D622*20%</f>
        <v>18.68</v>
      </c>
      <c r="F622" s="154">
        <f>D622+E622</f>
        <v>112.09</v>
      </c>
      <c r="G622" s="412"/>
      <c r="H622" s="253"/>
      <c r="I622" s="34"/>
      <c r="J622" s="253"/>
      <c r="K622" s="308"/>
      <c r="L622" s="253"/>
      <c r="M622" s="253"/>
      <c r="N622" s="253"/>
      <c r="O622" s="253"/>
      <c r="P622" s="253"/>
      <c r="Q622" s="253"/>
      <c r="R622" s="253"/>
      <c r="S622" s="253"/>
      <c r="Y622" s="89"/>
      <c r="BI622" s="89"/>
      <c r="BJ622" s="305"/>
    </row>
    <row r="623" spans="1:62" s="2" customFormat="1" ht="10.5" hidden="1" customHeight="1" x14ac:dyDescent="0.2">
      <c r="A623" s="405" t="s">
        <v>841</v>
      </c>
      <c r="B623" s="381" t="s">
        <v>842</v>
      </c>
      <c r="C623" s="379" t="s">
        <v>236</v>
      </c>
      <c r="D623" s="262">
        <v>138.41</v>
      </c>
      <c r="E623" s="96">
        <f>D623*20%</f>
        <v>27.68</v>
      </c>
      <c r="F623" s="154">
        <f>D623+E623</f>
        <v>166.09</v>
      </c>
      <c r="G623" s="412"/>
      <c r="H623" s="253"/>
      <c r="I623" s="34"/>
      <c r="J623" s="253"/>
      <c r="K623" s="308"/>
      <c r="L623" s="253"/>
      <c r="M623" s="253"/>
      <c r="N623" s="253"/>
      <c r="O623" s="253"/>
      <c r="P623" s="253"/>
      <c r="Q623" s="253"/>
      <c r="R623" s="253"/>
      <c r="S623" s="253"/>
      <c r="Y623" s="89"/>
      <c r="BI623" s="89"/>
      <c r="BJ623" s="305"/>
    </row>
    <row r="624" spans="1:62" s="2" customFormat="1" ht="15" hidden="1" customHeight="1" x14ac:dyDescent="0.2">
      <c r="A624" s="405" t="s">
        <v>843</v>
      </c>
      <c r="B624" s="381" t="s">
        <v>844</v>
      </c>
      <c r="C624" s="379" t="s">
        <v>236</v>
      </c>
      <c r="D624" s="262">
        <v>93.41</v>
      </c>
      <c r="E624" s="96">
        <f>D624*20%</f>
        <v>18.68</v>
      </c>
      <c r="F624" s="154">
        <f>D624+E624</f>
        <v>112.09</v>
      </c>
      <c r="G624" s="412"/>
      <c r="H624" s="253"/>
      <c r="I624" s="34"/>
      <c r="J624" s="253"/>
      <c r="K624" s="308"/>
      <c r="L624" s="253"/>
      <c r="M624" s="253"/>
      <c r="N624" s="253"/>
      <c r="O624" s="253"/>
      <c r="P624" s="253"/>
      <c r="Q624" s="253"/>
      <c r="R624" s="253"/>
      <c r="S624" s="253"/>
      <c r="Y624" s="89"/>
      <c r="BI624" s="89"/>
      <c r="BJ624" s="305"/>
    </row>
    <row r="625" spans="1:62" s="2" customFormat="1" ht="15.75" customHeight="1" x14ac:dyDescent="0.2">
      <c r="A625" s="395">
        <v>42</v>
      </c>
      <c r="B625" s="210" t="s">
        <v>845</v>
      </c>
      <c r="C625" s="210"/>
      <c r="D625" s="210"/>
      <c r="E625" s="209"/>
      <c r="F625" s="209"/>
      <c r="G625" s="412"/>
      <c r="H625" s="253"/>
      <c r="I625" s="34"/>
      <c r="J625" s="253"/>
      <c r="K625" s="308"/>
      <c r="L625" s="253"/>
      <c r="M625" s="253"/>
      <c r="N625" s="253"/>
      <c r="O625" s="253"/>
      <c r="P625" s="253"/>
      <c r="Q625" s="253"/>
      <c r="R625" s="253"/>
      <c r="S625" s="253"/>
      <c r="Y625" s="89"/>
      <c r="BI625" s="89"/>
      <c r="BJ625" s="305"/>
    </row>
    <row r="626" spans="1:62" s="2" customFormat="1" ht="46.5" customHeight="1" x14ac:dyDescent="0.2">
      <c r="A626" s="404" t="s">
        <v>1985</v>
      </c>
      <c r="B626" s="381" t="s">
        <v>847</v>
      </c>
      <c r="C626" s="122" t="s">
        <v>1666</v>
      </c>
      <c r="D626" s="13">
        <v>209.9</v>
      </c>
      <c r="E626" s="96"/>
      <c r="F626" s="154">
        <f t="shared" ref="F626:F631" si="37">D626+E626</f>
        <v>209.9</v>
      </c>
      <c r="G626" s="412"/>
      <c r="H626" s="253"/>
      <c r="I626" s="34"/>
      <c r="J626" s="253"/>
      <c r="K626" s="308"/>
      <c r="L626" s="253"/>
      <c r="M626" s="253"/>
      <c r="N626" s="253"/>
      <c r="O626" s="253"/>
      <c r="P626" s="253"/>
      <c r="Q626" s="253"/>
      <c r="R626" s="253"/>
      <c r="S626" s="253"/>
      <c r="Y626" s="89"/>
      <c r="BI626" s="89"/>
      <c r="BJ626" s="305"/>
    </row>
    <row r="627" spans="1:62" s="2" customFormat="1" ht="32.25" hidden="1" customHeight="1" x14ac:dyDescent="0.2">
      <c r="A627" s="404" t="s">
        <v>1798</v>
      </c>
      <c r="B627" s="381" t="s">
        <v>848</v>
      </c>
      <c r="C627" s="379" t="s">
        <v>236</v>
      </c>
      <c r="D627" s="262">
        <f>222.49</f>
        <v>222.49</v>
      </c>
      <c r="E627" s="96">
        <f>D627*20%</f>
        <v>44.5</v>
      </c>
      <c r="F627" s="154">
        <f t="shared" si="37"/>
        <v>266.99</v>
      </c>
      <c r="G627" s="412"/>
      <c r="H627" s="253"/>
      <c r="I627" s="34"/>
      <c r="J627" s="253"/>
      <c r="K627" s="308"/>
      <c r="L627" s="253"/>
      <c r="M627" s="253"/>
      <c r="N627" s="253"/>
      <c r="O627" s="253"/>
      <c r="P627" s="253"/>
      <c r="Q627" s="253"/>
      <c r="R627" s="253"/>
      <c r="S627" s="253"/>
      <c r="Y627" s="89"/>
      <c r="BI627" s="89"/>
      <c r="BJ627" s="305"/>
    </row>
    <row r="628" spans="1:62" s="2" customFormat="1" ht="46.5" hidden="1" customHeight="1" x14ac:dyDescent="0.2">
      <c r="A628" s="404" t="s">
        <v>1799</v>
      </c>
      <c r="B628" s="381" t="s">
        <v>849</v>
      </c>
      <c r="C628" s="379" t="s">
        <v>236</v>
      </c>
      <c r="D628" s="262">
        <v>224.52</v>
      </c>
      <c r="E628" s="96">
        <f>D628*20%</f>
        <v>44.9</v>
      </c>
      <c r="F628" s="154">
        <f t="shared" si="37"/>
        <v>269.42</v>
      </c>
      <c r="G628" s="412"/>
      <c r="H628" s="253"/>
      <c r="I628" s="34"/>
      <c r="J628" s="253"/>
      <c r="K628" s="308"/>
      <c r="L628" s="253"/>
      <c r="M628" s="253"/>
      <c r="N628" s="253"/>
      <c r="O628" s="253"/>
      <c r="P628" s="253"/>
      <c r="Q628" s="253"/>
      <c r="R628" s="253"/>
      <c r="S628" s="253"/>
      <c r="Y628" s="89"/>
      <c r="BI628" s="89"/>
      <c r="BJ628" s="305"/>
    </row>
    <row r="629" spans="1:62" s="2" customFormat="1" ht="22.5" hidden="1" customHeight="1" x14ac:dyDescent="0.2">
      <c r="A629" s="404" t="s">
        <v>1800</v>
      </c>
      <c r="B629" s="381" t="s">
        <v>850</v>
      </c>
      <c r="C629" s="379" t="s">
        <v>236</v>
      </c>
      <c r="D629" s="262">
        <v>147.6</v>
      </c>
      <c r="E629" s="96">
        <f>D629*20%</f>
        <v>29.52</v>
      </c>
      <c r="F629" s="154">
        <f>D629+E629</f>
        <v>177.12</v>
      </c>
      <c r="G629" s="412"/>
      <c r="H629" s="253"/>
      <c r="I629" s="34"/>
      <c r="J629" s="253"/>
      <c r="K629" s="308"/>
      <c r="L629" s="253"/>
      <c r="M629" s="253"/>
      <c r="N629" s="253"/>
      <c r="O629" s="253"/>
      <c r="P629" s="253"/>
      <c r="Q629" s="253"/>
      <c r="R629" s="253"/>
      <c r="S629" s="253"/>
      <c r="Y629" s="89"/>
      <c r="BI629" s="89"/>
      <c r="BJ629" s="305"/>
    </row>
    <row r="630" spans="1:62" s="2" customFormat="1" ht="46.5" hidden="1" customHeight="1" x14ac:dyDescent="0.2">
      <c r="A630" s="404" t="s">
        <v>1801</v>
      </c>
      <c r="B630" s="381" t="s">
        <v>2180</v>
      </c>
      <c r="C630" s="379" t="s">
        <v>236</v>
      </c>
      <c r="D630" s="262">
        <v>93.81</v>
      </c>
      <c r="E630" s="96">
        <f>D630*20%</f>
        <v>18.760000000000002</v>
      </c>
      <c r="F630" s="154">
        <f>D630+E630</f>
        <v>112.57</v>
      </c>
      <c r="G630" s="412"/>
      <c r="H630" s="253"/>
      <c r="I630" s="34"/>
      <c r="J630" s="253"/>
      <c r="K630" s="308"/>
      <c r="L630" s="253"/>
      <c r="M630" s="253"/>
      <c r="N630" s="253"/>
      <c r="O630" s="253"/>
      <c r="P630" s="253"/>
      <c r="Q630" s="253"/>
      <c r="R630" s="253"/>
      <c r="S630" s="253"/>
      <c r="Y630" s="89"/>
      <c r="BI630" s="89"/>
      <c r="BJ630" s="305"/>
    </row>
    <row r="631" spans="1:62" s="2" customFormat="1" ht="35.25" hidden="1" customHeight="1" x14ac:dyDescent="0.2">
      <c r="A631" s="404" t="s">
        <v>1802</v>
      </c>
      <c r="B631" s="381" t="s">
        <v>852</v>
      </c>
      <c r="C631" s="379" t="s">
        <v>236</v>
      </c>
      <c r="D631" s="262">
        <v>161.19999999999999</v>
      </c>
      <c r="E631" s="96">
        <f>D631*20%</f>
        <v>32.24</v>
      </c>
      <c r="F631" s="154">
        <f t="shared" si="37"/>
        <v>193.44</v>
      </c>
      <c r="G631" s="412"/>
      <c r="H631" s="253"/>
      <c r="I631" s="34"/>
      <c r="J631" s="253"/>
      <c r="K631" s="308"/>
      <c r="L631" s="253"/>
      <c r="M631" s="253"/>
      <c r="N631" s="253"/>
      <c r="O631" s="253"/>
      <c r="P631" s="253"/>
      <c r="Q631" s="253"/>
      <c r="R631" s="253"/>
      <c r="S631" s="253"/>
      <c r="Y631" s="89"/>
      <c r="BI631" s="89"/>
      <c r="BJ631" s="305"/>
    </row>
    <row r="632" spans="1:62" s="2" customFormat="1" ht="21.75" hidden="1" customHeight="1" x14ac:dyDescent="0.2">
      <c r="A632" s="380" t="s">
        <v>54</v>
      </c>
      <c r="B632" s="429" t="s">
        <v>853</v>
      </c>
      <c r="C632" s="429"/>
      <c r="D632" s="429"/>
      <c r="E632" s="429"/>
      <c r="F632" s="429"/>
      <c r="G632" s="412"/>
      <c r="H632" s="253"/>
      <c r="I632" s="34"/>
      <c r="J632" s="253"/>
      <c r="K632" s="308"/>
      <c r="L632" s="253"/>
      <c r="M632" s="253"/>
      <c r="N632" s="253"/>
      <c r="O632" s="253"/>
      <c r="P632" s="253"/>
      <c r="Q632" s="253"/>
      <c r="R632" s="253"/>
      <c r="S632" s="253"/>
      <c r="Y632" s="89"/>
      <c r="BI632" s="89"/>
      <c r="BJ632" s="305"/>
    </row>
    <row r="633" spans="1:62" s="2" customFormat="1" ht="35.25" hidden="1" customHeight="1" x14ac:dyDescent="0.2">
      <c r="A633" s="404" t="s">
        <v>854</v>
      </c>
      <c r="B633" s="381" t="s">
        <v>855</v>
      </c>
      <c r="C633" s="379" t="s">
        <v>236</v>
      </c>
      <c r="D633" s="262">
        <v>146.1</v>
      </c>
      <c r="E633" s="96">
        <f>D633*20%</f>
        <v>29.22</v>
      </c>
      <c r="F633" s="154">
        <f>D633+E633</f>
        <v>175.32</v>
      </c>
      <c r="G633" s="412"/>
      <c r="H633" s="253"/>
      <c r="I633" s="34"/>
      <c r="J633" s="253"/>
      <c r="K633" s="308"/>
      <c r="L633" s="253"/>
      <c r="M633" s="253"/>
      <c r="N633" s="253"/>
      <c r="O633" s="253"/>
      <c r="P633" s="253"/>
      <c r="Q633" s="253"/>
      <c r="R633" s="253"/>
      <c r="S633" s="253"/>
      <c r="Y633" s="89"/>
      <c r="BI633" s="89"/>
      <c r="BJ633" s="305"/>
    </row>
    <row r="634" spans="1:62" s="2" customFormat="1" ht="18.75" hidden="1" customHeight="1" x14ac:dyDescent="0.2">
      <c r="A634" s="404" t="s">
        <v>856</v>
      </c>
      <c r="B634" s="381" t="s">
        <v>857</v>
      </c>
      <c r="C634" s="379" t="s">
        <v>236</v>
      </c>
      <c r="D634" s="262">
        <v>139.16</v>
      </c>
      <c r="E634" s="96">
        <f>D634*20%</f>
        <v>27.83</v>
      </c>
      <c r="F634" s="154">
        <f>D634+E634</f>
        <v>166.99</v>
      </c>
      <c r="G634" s="412"/>
      <c r="H634" s="253"/>
      <c r="I634" s="34"/>
      <c r="J634" s="253"/>
      <c r="K634" s="308"/>
      <c r="L634" s="253"/>
      <c r="M634" s="253"/>
      <c r="N634" s="253"/>
      <c r="O634" s="253"/>
      <c r="P634" s="253"/>
      <c r="Q634" s="253"/>
      <c r="R634" s="253"/>
      <c r="S634" s="253"/>
      <c r="Y634" s="89"/>
      <c r="BI634" s="89"/>
      <c r="BJ634" s="305"/>
    </row>
    <row r="635" spans="1:62" s="2" customFormat="1" ht="18" hidden="1" customHeight="1" x14ac:dyDescent="0.2">
      <c r="A635" s="404" t="s">
        <v>858</v>
      </c>
      <c r="B635" s="381" t="s">
        <v>859</v>
      </c>
      <c r="C635" s="379" t="s">
        <v>236</v>
      </c>
      <c r="D635" s="262">
        <v>199.6</v>
      </c>
      <c r="E635" s="96">
        <f>D635*20%</f>
        <v>39.92</v>
      </c>
      <c r="F635" s="154">
        <f>D635+E635</f>
        <v>239.52</v>
      </c>
      <c r="G635" s="412"/>
      <c r="H635" s="253"/>
      <c r="I635" s="34"/>
      <c r="J635" s="253"/>
      <c r="K635" s="308"/>
      <c r="L635" s="253"/>
      <c r="M635" s="253"/>
      <c r="N635" s="253"/>
      <c r="O635" s="253"/>
      <c r="P635" s="253"/>
      <c r="Q635" s="253"/>
      <c r="R635" s="253"/>
      <c r="S635" s="253"/>
      <c r="Y635" s="89"/>
      <c r="BI635" s="89"/>
      <c r="BJ635" s="305"/>
    </row>
    <row r="636" spans="1:62" s="2" customFormat="1" ht="28.5" hidden="1" customHeight="1" x14ac:dyDescent="0.2">
      <c r="A636" s="211" t="s">
        <v>860</v>
      </c>
      <c r="B636" s="212" t="s">
        <v>861</v>
      </c>
      <c r="C636" s="315" t="s">
        <v>236</v>
      </c>
      <c r="D636" s="264">
        <v>192.4</v>
      </c>
      <c r="E636" s="96">
        <f>D636*20%</f>
        <v>38.479999999999997</v>
      </c>
      <c r="F636" s="154">
        <f>D636+E636</f>
        <v>230.88</v>
      </c>
      <c r="G636" s="412"/>
      <c r="H636" s="253"/>
      <c r="I636" s="34"/>
      <c r="J636" s="253"/>
      <c r="K636" s="308"/>
      <c r="L636" s="253"/>
      <c r="M636" s="253"/>
      <c r="N636" s="253"/>
      <c r="O636" s="253"/>
      <c r="P636" s="253"/>
      <c r="Q636" s="253"/>
      <c r="R636" s="253"/>
      <c r="S636" s="253"/>
      <c r="Y636" s="89"/>
      <c r="BI636" s="89"/>
      <c r="BJ636" s="305"/>
    </row>
    <row r="637" spans="1:62" s="2" customFormat="1" ht="20.25" customHeight="1" x14ac:dyDescent="0.2">
      <c r="A637" s="108" t="s">
        <v>477</v>
      </c>
      <c r="B637" s="429" t="s">
        <v>862</v>
      </c>
      <c r="C637" s="429"/>
      <c r="D637" s="429"/>
      <c r="E637" s="213"/>
      <c r="F637" s="213"/>
      <c r="G637" s="412"/>
      <c r="H637" s="253"/>
      <c r="I637" s="34"/>
      <c r="J637" s="253"/>
      <c r="K637" s="308"/>
      <c r="L637" s="253"/>
      <c r="M637" s="253"/>
      <c r="N637" s="253"/>
      <c r="O637" s="253"/>
      <c r="P637" s="253"/>
      <c r="Q637" s="253"/>
      <c r="R637" s="253"/>
      <c r="S637" s="253"/>
      <c r="Y637" s="89"/>
      <c r="BI637" s="89"/>
      <c r="BJ637" s="305"/>
    </row>
    <row r="638" spans="1:62" s="2" customFormat="1" ht="35.25" hidden="1" customHeight="1" x14ac:dyDescent="0.2">
      <c r="A638" s="214" t="s">
        <v>863</v>
      </c>
      <c r="B638" s="215" t="s">
        <v>864</v>
      </c>
      <c r="C638" s="141" t="s">
        <v>236</v>
      </c>
      <c r="D638" s="265">
        <v>434.04</v>
      </c>
      <c r="E638" s="96">
        <f t="shared" ref="E638:E669" si="38">D638*20%</f>
        <v>86.81</v>
      </c>
      <c r="F638" s="154">
        <f t="shared" ref="F638:F667" si="39">D638+E638</f>
        <v>520.85</v>
      </c>
      <c r="G638" s="412"/>
      <c r="H638" s="253"/>
      <c r="I638" s="34"/>
      <c r="J638" s="253"/>
      <c r="K638" s="308"/>
      <c r="L638" s="253"/>
      <c r="M638" s="253"/>
      <c r="N638" s="253"/>
      <c r="O638" s="253"/>
      <c r="P638" s="253"/>
      <c r="Q638" s="253"/>
      <c r="R638" s="253"/>
      <c r="S638" s="253"/>
      <c r="Y638" s="89"/>
      <c r="BI638" s="89"/>
      <c r="BJ638" s="305"/>
    </row>
    <row r="639" spans="1:62" s="2" customFormat="1" ht="46.5" hidden="1" customHeight="1" x14ac:dyDescent="0.2">
      <c r="A639" s="404" t="s">
        <v>865</v>
      </c>
      <c r="B639" s="381" t="s">
        <v>866</v>
      </c>
      <c r="C639" s="379" t="s">
        <v>236</v>
      </c>
      <c r="D639" s="262">
        <v>308.19</v>
      </c>
      <c r="E639" s="96">
        <f t="shared" si="38"/>
        <v>61.64</v>
      </c>
      <c r="F639" s="154">
        <f t="shared" si="39"/>
        <v>369.83</v>
      </c>
      <c r="G639" s="412"/>
      <c r="H639" s="253"/>
      <c r="I639" s="34"/>
      <c r="J639" s="253"/>
      <c r="K639" s="308"/>
      <c r="L639" s="253"/>
      <c r="M639" s="253"/>
      <c r="N639" s="253"/>
      <c r="O639" s="253"/>
      <c r="P639" s="253"/>
      <c r="Q639" s="253"/>
      <c r="R639" s="253"/>
      <c r="S639" s="253"/>
      <c r="Y639" s="89"/>
      <c r="BI639" s="89"/>
      <c r="BJ639" s="305"/>
    </row>
    <row r="640" spans="1:62" s="2" customFormat="1" ht="35.25" customHeight="1" x14ac:dyDescent="0.2">
      <c r="A640" s="404" t="s">
        <v>2100</v>
      </c>
      <c r="B640" s="381" t="s">
        <v>868</v>
      </c>
      <c r="C640" s="122" t="s">
        <v>1666</v>
      </c>
      <c r="D640" s="13">
        <v>317.75</v>
      </c>
      <c r="E640" s="96"/>
      <c r="F640" s="154">
        <f t="shared" si="39"/>
        <v>317.75</v>
      </c>
      <c r="G640" s="412"/>
      <c r="H640" s="253"/>
      <c r="I640" s="34"/>
      <c r="J640" s="253"/>
      <c r="K640" s="308"/>
      <c r="L640" s="253"/>
      <c r="M640" s="253"/>
      <c r="N640" s="253"/>
      <c r="O640" s="253"/>
      <c r="P640" s="253"/>
      <c r="Q640" s="253"/>
      <c r="R640" s="253"/>
      <c r="S640" s="253"/>
      <c r="Y640" s="89"/>
      <c r="BI640" s="89"/>
      <c r="BJ640" s="305"/>
    </row>
    <row r="641" spans="1:62" s="2" customFormat="1" ht="34.5" hidden="1" customHeight="1" x14ac:dyDescent="0.2">
      <c r="A641" s="404" t="s">
        <v>869</v>
      </c>
      <c r="B641" s="381" t="s">
        <v>870</v>
      </c>
      <c r="C641" s="379" t="s">
        <v>236</v>
      </c>
      <c r="D641" s="13">
        <v>263.95999999999998</v>
      </c>
      <c r="E641" s="96">
        <f t="shared" si="38"/>
        <v>52.79</v>
      </c>
      <c r="F641" s="154">
        <f t="shared" si="39"/>
        <v>316.75</v>
      </c>
      <c r="G641" s="412"/>
      <c r="H641" s="253"/>
      <c r="I641" s="34"/>
      <c r="J641" s="253"/>
      <c r="K641" s="308"/>
      <c r="L641" s="253"/>
      <c r="M641" s="253"/>
      <c r="N641" s="253"/>
      <c r="O641" s="253"/>
      <c r="P641" s="253"/>
      <c r="Q641" s="253"/>
      <c r="R641" s="253"/>
      <c r="S641" s="253"/>
      <c r="Y641" s="89"/>
      <c r="BI641" s="89"/>
      <c r="BJ641" s="305"/>
    </row>
    <row r="642" spans="1:62" s="2" customFormat="1" ht="31.5" hidden="1" customHeight="1" x14ac:dyDescent="0.2">
      <c r="A642" s="404" t="s">
        <v>871</v>
      </c>
      <c r="B642" s="381" t="s">
        <v>872</v>
      </c>
      <c r="C642" s="379" t="s">
        <v>236</v>
      </c>
      <c r="D642" s="13">
        <v>263.5</v>
      </c>
      <c r="E642" s="96">
        <f t="shared" si="38"/>
        <v>52.7</v>
      </c>
      <c r="F642" s="154">
        <f t="shared" si="39"/>
        <v>316.2</v>
      </c>
      <c r="G642" s="412"/>
      <c r="H642" s="253"/>
      <c r="I642" s="34"/>
      <c r="J642" s="253"/>
      <c r="K642" s="308"/>
      <c r="L642" s="253"/>
      <c r="M642" s="253"/>
      <c r="N642" s="253"/>
      <c r="O642" s="253"/>
      <c r="P642" s="253"/>
      <c r="Q642" s="253"/>
      <c r="R642" s="253"/>
      <c r="S642" s="253"/>
      <c r="Y642" s="89"/>
      <c r="BI642" s="89"/>
      <c r="BJ642" s="305"/>
    </row>
    <row r="643" spans="1:62" s="2" customFormat="1" ht="46.5" hidden="1" customHeight="1" x14ac:dyDescent="0.2">
      <c r="A643" s="404" t="s">
        <v>873</v>
      </c>
      <c r="B643" s="381" t="s">
        <v>874</v>
      </c>
      <c r="C643" s="379" t="s">
        <v>236</v>
      </c>
      <c r="D643" s="13">
        <v>272.11</v>
      </c>
      <c r="E643" s="96">
        <f t="shared" si="38"/>
        <v>54.42</v>
      </c>
      <c r="F643" s="154">
        <f t="shared" si="39"/>
        <v>326.52999999999997</v>
      </c>
      <c r="G643" s="412"/>
      <c r="H643" s="253"/>
      <c r="I643" s="34"/>
      <c r="J643" s="253"/>
      <c r="K643" s="308"/>
      <c r="L643" s="253"/>
      <c r="M643" s="253"/>
      <c r="N643" s="253"/>
      <c r="O643" s="253"/>
      <c r="P643" s="253"/>
      <c r="Q643" s="253"/>
      <c r="R643" s="253"/>
      <c r="S643" s="253"/>
      <c r="Y643" s="89"/>
      <c r="BI643" s="89"/>
      <c r="BJ643" s="305"/>
    </row>
    <row r="644" spans="1:62" s="2" customFormat="1" ht="28.5" hidden="1" customHeight="1" x14ac:dyDescent="0.2">
      <c r="A644" s="404" t="s">
        <v>875</v>
      </c>
      <c r="B644" s="381" t="s">
        <v>876</v>
      </c>
      <c r="C644" s="379" t="s">
        <v>236</v>
      </c>
      <c r="D644" s="13">
        <v>209.84</v>
      </c>
      <c r="E644" s="96">
        <f t="shared" si="38"/>
        <v>41.97</v>
      </c>
      <c r="F644" s="154">
        <f t="shared" si="39"/>
        <v>251.81</v>
      </c>
      <c r="G644" s="412"/>
      <c r="H644" s="253"/>
      <c r="I644" s="34"/>
      <c r="J644" s="253"/>
      <c r="K644" s="308"/>
      <c r="L644" s="253"/>
      <c r="M644" s="253"/>
      <c r="N644" s="253"/>
      <c r="O644" s="253"/>
      <c r="P644" s="253"/>
      <c r="Q644" s="253"/>
      <c r="R644" s="253"/>
      <c r="S644" s="253"/>
      <c r="Y644" s="89"/>
      <c r="BI644" s="89"/>
      <c r="BJ644" s="305"/>
    </row>
    <row r="645" spans="1:62" s="2" customFormat="1" ht="46.5" hidden="1" customHeight="1" x14ac:dyDescent="0.2">
      <c r="A645" s="404" t="s">
        <v>877</v>
      </c>
      <c r="B645" s="381" t="s">
        <v>726</v>
      </c>
      <c r="C645" s="379" t="s">
        <v>236</v>
      </c>
      <c r="D645" s="13">
        <v>106.71</v>
      </c>
      <c r="E645" s="96">
        <f t="shared" si="38"/>
        <v>21.34</v>
      </c>
      <c r="F645" s="154">
        <f t="shared" si="39"/>
        <v>128.05000000000001</v>
      </c>
      <c r="G645" s="412"/>
      <c r="H645" s="253"/>
      <c r="I645" s="34"/>
      <c r="J645" s="253"/>
      <c r="K645" s="308"/>
      <c r="L645" s="253"/>
      <c r="M645" s="253"/>
      <c r="N645" s="253"/>
      <c r="O645" s="253"/>
      <c r="P645" s="253"/>
      <c r="Q645" s="253"/>
      <c r="R645" s="253"/>
      <c r="S645" s="253"/>
      <c r="Y645" s="89"/>
      <c r="BI645" s="89"/>
      <c r="BJ645" s="305"/>
    </row>
    <row r="646" spans="1:62" s="2" customFormat="1" ht="46.5" hidden="1" customHeight="1" x14ac:dyDescent="0.2">
      <c r="A646" s="404" t="s">
        <v>879</v>
      </c>
      <c r="B646" s="381" t="s">
        <v>880</v>
      </c>
      <c r="C646" s="379" t="s">
        <v>236</v>
      </c>
      <c r="D646" s="13">
        <v>255.11</v>
      </c>
      <c r="E646" s="96">
        <f t="shared" si="38"/>
        <v>51.02</v>
      </c>
      <c r="F646" s="154">
        <f t="shared" si="39"/>
        <v>306.13</v>
      </c>
      <c r="G646" s="412"/>
      <c r="H646" s="253"/>
      <c r="I646" s="34"/>
      <c r="J646" s="253"/>
      <c r="K646" s="308"/>
      <c r="L646" s="253"/>
      <c r="M646" s="253"/>
      <c r="N646" s="253"/>
      <c r="O646" s="253"/>
      <c r="P646" s="253"/>
      <c r="Q646" s="253"/>
      <c r="R646" s="253"/>
      <c r="S646" s="253"/>
      <c r="Y646" s="89"/>
      <c r="BI646" s="89"/>
      <c r="BJ646" s="305"/>
    </row>
    <row r="647" spans="1:62" s="2" customFormat="1" ht="46.5" hidden="1" customHeight="1" x14ac:dyDescent="0.2">
      <c r="A647" s="404" t="s">
        <v>881</v>
      </c>
      <c r="B647" s="381" t="s">
        <v>882</v>
      </c>
      <c r="C647" s="379" t="s">
        <v>236</v>
      </c>
      <c r="D647" s="13">
        <v>275.62</v>
      </c>
      <c r="E647" s="96">
        <f t="shared" si="38"/>
        <v>55.12</v>
      </c>
      <c r="F647" s="154">
        <f t="shared" si="39"/>
        <v>330.74</v>
      </c>
      <c r="G647" s="412"/>
      <c r="H647" s="253"/>
      <c r="I647" s="34"/>
      <c r="J647" s="253"/>
      <c r="K647" s="308"/>
      <c r="L647" s="253"/>
      <c r="M647" s="253"/>
      <c r="N647" s="253"/>
      <c r="O647" s="253"/>
      <c r="P647" s="253"/>
      <c r="Q647" s="253"/>
      <c r="R647" s="253"/>
      <c r="S647" s="253"/>
      <c r="Y647" s="89"/>
      <c r="BI647" s="89"/>
      <c r="BJ647" s="305"/>
    </row>
    <row r="648" spans="1:62" s="2" customFormat="1" ht="32.25" hidden="1" customHeight="1" x14ac:dyDescent="0.2">
      <c r="A648" s="404" t="s">
        <v>883</v>
      </c>
      <c r="B648" s="381" t="s">
        <v>884</v>
      </c>
      <c r="C648" s="379" t="s">
        <v>236</v>
      </c>
      <c r="D648" s="13">
        <v>15.92</v>
      </c>
      <c r="E648" s="96">
        <f t="shared" si="38"/>
        <v>3.18</v>
      </c>
      <c r="F648" s="154">
        <f t="shared" si="39"/>
        <v>19.100000000000001</v>
      </c>
      <c r="G648" s="412"/>
      <c r="H648" s="253"/>
      <c r="I648" s="34"/>
      <c r="J648" s="253"/>
      <c r="K648" s="308"/>
      <c r="L648" s="253"/>
      <c r="M648" s="253"/>
      <c r="N648" s="253"/>
      <c r="O648" s="253"/>
      <c r="P648" s="253"/>
      <c r="Q648" s="253"/>
      <c r="R648" s="253"/>
      <c r="S648" s="253"/>
      <c r="Y648" s="89"/>
      <c r="BI648" s="89"/>
      <c r="BJ648" s="305"/>
    </row>
    <row r="649" spans="1:62" s="2" customFormat="1" ht="46.5" hidden="1" customHeight="1" x14ac:dyDescent="0.2">
      <c r="A649" s="404" t="s">
        <v>885</v>
      </c>
      <c r="B649" s="381" t="s">
        <v>886</v>
      </c>
      <c r="C649" s="379" t="s">
        <v>236</v>
      </c>
      <c r="D649" s="13">
        <v>119.6</v>
      </c>
      <c r="E649" s="96">
        <f t="shared" si="38"/>
        <v>23.92</v>
      </c>
      <c r="F649" s="154">
        <f t="shared" si="39"/>
        <v>143.52000000000001</v>
      </c>
      <c r="G649" s="412"/>
      <c r="H649" s="253"/>
      <c r="I649" s="34"/>
      <c r="J649" s="253"/>
      <c r="K649" s="308"/>
      <c r="L649" s="253"/>
      <c r="M649" s="253"/>
      <c r="N649" s="253"/>
      <c r="O649" s="253"/>
      <c r="P649" s="253"/>
      <c r="Q649" s="253"/>
      <c r="R649" s="253"/>
      <c r="S649" s="253"/>
      <c r="Y649" s="89"/>
      <c r="BI649" s="89"/>
      <c r="BJ649" s="305"/>
    </row>
    <row r="650" spans="1:62" s="2" customFormat="1" ht="22.5" hidden="1" customHeight="1" x14ac:dyDescent="0.2">
      <c r="A650" s="404" t="s">
        <v>887</v>
      </c>
      <c r="B650" s="381" t="s">
        <v>2179</v>
      </c>
      <c r="C650" s="379" t="s">
        <v>236</v>
      </c>
      <c r="D650" s="13">
        <v>116.5</v>
      </c>
      <c r="E650" s="96">
        <f t="shared" si="38"/>
        <v>23.3</v>
      </c>
      <c r="F650" s="154">
        <f t="shared" si="39"/>
        <v>139.80000000000001</v>
      </c>
      <c r="G650" s="412"/>
      <c r="H650" s="253"/>
      <c r="I650" s="34"/>
      <c r="J650" s="253"/>
      <c r="K650" s="308"/>
      <c r="L650" s="253"/>
      <c r="M650" s="253"/>
      <c r="N650" s="253"/>
      <c r="O650" s="253"/>
      <c r="P650" s="253"/>
      <c r="Q650" s="253"/>
      <c r="R650" s="253"/>
      <c r="S650" s="253"/>
      <c r="Y650" s="89"/>
      <c r="BI650" s="89"/>
      <c r="BJ650" s="305"/>
    </row>
    <row r="651" spans="1:62" s="2" customFormat="1" ht="20.25" hidden="1" customHeight="1" x14ac:dyDescent="0.2">
      <c r="A651" s="404" t="s">
        <v>889</v>
      </c>
      <c r="B651" s="381" t="s">
        <v>890</v>
      </c>
      <c r="C651" s="379" t="s">
        <v>236</v>
      </c>
      <c r="D651" s="13">
        <v>258.77999999999997</v>
      </c>
      <c r="E651" s="96">
        <f t="shared" si="38"/>
        <v>51.76</v>
      </c>
      <c r="F651" s="154">
        <f t="shared" si="39"/>
        <v>310.54000000000002</v>
      </c>
      <c r="G651" s="412"/>
      <c r="H651" s="253"/>
      <c r="I651" s="34"/>
      <c r="J651" s="253"/>
      <c r="K651" s="308"/>
      <c r="L651" s="253"/>
      <c r="M651" s="253"/>
      <c r="N651" s="253"/>
      <c r="O651" s="253"/>
      <c r="P651" s="253"/>
      <c r="Q651" s="253"/>
      <c r="R651" s="253"/>
      <c r="S651" s="253"/>
      <c r="Y651" s="89"/>
      <c r="BI651" s="89"/>
      <c r="BJ651" s="305"/>
    </row>
    <row r="652" spans="1:62" s="2" customFormat="1" ht="17.25" hidden="1" customHeight="1" x14ac:dyDescent="0.2">
      <c r="A652" s="404" t="s">
        <v>891</v>
      </c>
      <c r="B652" s="381" t="s">
        <v>892</v>
      </c>
      <c r="C652" s="379" t="s">
        <v>236</v>
      </c>
      <c r="D652" s="13">
        <v>184.24</v>
      </c>
      <c r="E652" s="96">
        <f t="shared" si="38"/>
        <v>36.85</v>
      </c>
      <c r="F652" s="154">
        <f t="shared" si="39"/>
        <v>221.09</v>
      </c>
      <c r="G652" s="412"/>
      <c r="H652" s="253"/>
      <c r="I652" s="34"/>
      <c r="J652" s="253"/>
      <c r="K652" s="308"/>
      <c r="L652" s="253"/>
      <c r="M652" s="253"/>
      <c r="N652" s="253"/>
      <c r="O652" s="253"/>
      <c r="P652" s="253"/>
      <c r="Q652" s="253"/>
      <c r="R652" s="253"/>
      <c r="S652" s="253"/>
      <c r="Y652" s="89"/>
      <c r="BI652" s="89"/>
      <c r="BJ652" s="305"/>
    </row>
    <row r="653" spans="1:62" s="2" customFormat="1" ht="20.25" hidden="1" customHeight="1" x14ac:dyDescent="0.2">
      <c r="A653" s="404" t="s">
        <v>893</v>
      </c>
      <c r="B653" s="381" t="s">
        <v>894</v>
      </c>
      <c r="C653" s="379" t="s">
        <v>236</v>
      </c>
      <c r="D653" s="13">
        <v>136.32</v>
      </c>
      <c r="E653" s="96">
        <f t="shared" si="38"/>
        <v>27.26</v>
      </c>
      <c r="F653" s="154">
        <f t="shared" si="39"/>
        <v>163.58000000000001</v>
      </c>
      <c r="G653" s="412"/>
      <c r="H653" s="253"/>
      <c r="I653" s="34"/>
      <c r="J653" s="253"/>
      <c r="K653" s="308"/>
      <c r="L653" s="253"/>
      <c r="M653" s="253"/>
      <c r="N653" s="253"/>
      <c r="O653" s="253"/>
      <c r="P653" s="253"/>
      <c r="Q653" s="253"/>
      <c r="R653" s="253"/>
      <c r="S653" s="253"/>
      <c r="Y653" s="89"/>
      <c r="BI653" s="89"/>
      <c r="BJ653" s="305"/>
    </row>
    <row r="654" spans="1:62" s="2" customFormat="1" ht="17.25" hidden="1" customHeight="1" x14ac:dyDescent="0.2">
      <c r="A654" s="404" t="s">
        <v>895</v>
      </c>
      <c r="B654" s="381" t="s">
        <v>896</v>
      </c>
      <c r="C654" s="379" t="s">
        <v>236</v>
      </c>
      <c r="D654" s="13">
        <v>173.58</v>
      </c>
      <c r="E654" s="96">
        <f t="shared" si="38"/>
        <v>34.72</v>
      </c>
      <c r="F654" s="154">
        <f t="shared" si="39"/>
        <v>208.3</v>
      </c>
      <c r="G654" s="412"/>
      <c r="H654" s="253"/>
      <c r="I654" s="34"/>
      <c r="J654" s="253"/>
      <c r="K654" s="308"/>
      <c r="L654" s="253"/>
      <c r="M654" s="253"/>
      <c r="N654" s="253"/>
      <c r="O654" s="253"/>
      <c r="P654" s="253"/>
      <c r="Q654" s="253"/>
      <c r="R654" s="253"/>
      <c r="S654" s="253"/>
      <c r="Y654" s="89"/>
      <c r="BI654" s="89"/>
      <c r="BJ654" s="305"/>
    </row>
    <row r="655" spans="1:62" s="2" customFormat="1" ht="18" hidden="1" customHeight="1" x14ac:dyDescent="0.2">
      <c r="A655" s="404" t="s">
        <v>897</v>
      </c>
      <c r="B655" s="381" t="s">
        <v>898</v>
      </c>
      <c r="C655" s="379" t="s">
        <v>236</v>
      </c>
      <c r="D655" s="13">
        <v>43.01</v>
      </c>
      <c r="E655" s="96">
        <f t="shared" si="38"/>
        <v>8.6</v>
      </c>
      <c r="F655" s="154">
        <f>D655+E655</f>
        <v>51.61</v>
      </c>
      <c r="G655" s="412"/>
      <c r="H655" s="253"/>
      <c r="I655" s="34"/>
      <c r="J655" s="253"/>
      <c r="K655" s="308"/>
      <c r="L655" s="253"/>
      <c r="M655" s="253"/>
      <c r="N655" s="253"/>
      <c r="O655" s="253"/>
      <c r="P655" s="253"/>
      <c r="Q655" s="253"/>
      <c r="R655" s="253"/>
      <c r="S655" s="253"/>
      <c r="Y655" s="89"/>
      <c r="BI655" s="89"/>
      <c r="BJ655" s="305"/>
    </row>
    <row r="656" spans="1:62" s="2" customFormat="1" ht="16.5" hidden="1" customHeight="1" x14ac:dyDescent="0.2">
      <c r="A656" s="404" t="s">
        <v>899</v>
      </c>
      <c r="B656" s="381" t="s">
        <v>900</v>
      </c>
      <c r="C656" s="379" t="s">
        <v>236</v>
      </c>
      <c r="D656" s="13">
        <v>102.7</v>
      </c>
      <c r="E656" s="96">
        <f t="shared" si="38"/>
        <v>20.54</v>
      </c>
      <c r="F656" s="274">
        <f t="shared" si="39"/>
        <v>123.24</v>
      </c>
      <c r="G656" s="412"/>
      <c r="H656" s="253"/>
      <c r="I656" s="34"/>
      <c r="J656" s="253"/>
      <c r="K656" s="308"/>
      <c r="L656" s="253"/>
      <c r="M656" s="253"/>
      <c r="N656" s="253"/>
      <c r="O656" s="253"/>
      <c r="P656" s="253"/>
      <c r="Q656" s="253"/>
      <c r="R656" s="253"/>
      <c r="S656" s="253"/>
      <c r="Y656" s="89"/>
      <c r="BI656" s="89"/>
      <c r="BJ656" s="305"/>
    </row>
    <row r="657" spans="1:62" s="2" customFormat="1" ht="17.25" hidden="1" customHeight="1" x14ac:dyDescent="0.2">
      <c r="A657" s="404" t="s">
        <v>901</v>
      </c>
      <c r="B657" s="381" t="s">
        <v>902</v>
      </c>
      <c r="C657" s="379" t="s">
        <v>236</v>
      </c>
      <c r="D657" s="13">
        <v>219.56</v>
      </c>
      <c r="E657" s="96">
        <f t="shared" si="38"/>
        <v>43.91</v>
      </c>
      <c r="F657" s="154">
        <f t="shared" si="39"/>
        <v>263.47000000000003</v>
      </c>
      <c r="G657" s="412"/>
      <c r="H657" s="253"/>
      <c r="I657" s="34"/>
      <c r="J657" s="253"/>
      <c r="K657" s="308"/>
      <c r="L657" s="253"/>
      <c r="M657" s="253"/>
      <c r="N657" s="253"/>
      <c r="O657" s="253"/>
      <c r="P657" s="253"/>
      <c r="Q657" s="253"/>
      <c r="R657" s="253"/>
      <c r="S657" s="253"/>
      <c r="Y657" s="89"/>
      <c r="BI657" s="89"/>
      <c r="BJ657" s="305"/>
    </row>
    <row r="658" spans="1:62" s="2" customFormat="1" ht="27.75" hidden="1" customHeight="1" x14ac:dyDescent="0.2">
      <c r="A658" s="404" t="s">
        <v>903</v>
      </c>
      <c r="B658" s="381" t="s">
        <v>713</v>
      </c>
      <c r="C658" s="379" t="s">
        <v>236</v>
      </c>
      <c r="D658" s="13">
        <v>16.86</v>
      </c>
      <c r="E658" s="96">
        <f t="shared" si="38"/>
        <v>3.37</v>
      </c>
      <c r="F658" s="154">
        <f t="shared" si="39"/>
        <v>20.23</v>
      </c>
      <c r="G658" s="412"/>
      <c r="H658" s="253"/>
      <c r="I658" s="34"/>
      <c r="J658" s="253"/>
      <c r="K658" s="308"/>
      <c r="L658" s="253"/>
      <c r="M658" s="253"/>
      <c r="N658" s="253"/>
      <c r="O658" s="253"/>
      <c r="P658" s="253"/>
      <c r="Q658" s="253"/>
      <c r="R658" s="253"/>
      <c r="S658" s="253"/>
      <c r="Y658" s="89"/>
      <c r="BI658" s="89"/>
      <c r="BJ658" s="305"/>
    </row>
    <row r="659" spans="1:62" s="2" customFormat="1" ht="22.5" hidden="1" customHeight="1" x14ac:dyDescent="0.2">
      <c r="A659" s="404" t="s">
        <v>904</v>
      </c>
      <c r="B659" s="381" t="s">
        <v>905</v>
      </c>
      <c r="C659" s="379" t="s">
        <v>236</v>
      </c>
      <c r="D659" s="13">
        <v>137.80000000000001</v>
      </c>
      <c r="E659" s="96">
        <f t="shared" si="38"/>
        <v>27.56</v>
      </c>
      <c r="F659" s="154">
        <f t="shared" si="39"/>
        <v>165.36</v>
      </c>
      <c r="G659" s="412"/>
      <c r="H659" s="253"/>
      <c r="I659" s="34"/>
      <c r="J659" s="253"/>
      <c r="K659" s="308"/>
      <c r="L659" s="253"/>
      <c r="M659" s="253"/>
      <c r="N659" s="253"/>
      <c r="O659" s="253"/>
      <c r="P659" s="253"/>
      <c r="Q659" s="253"/>
      <c r="R659" s="253"/>
      <c r="S659" s="253"/>
      <c r="Y659" s="89"/>
      <c r="BI659" s="89"/>
      <c r="BJ659" s="305"/>
    </row>
    <row r="660" spans="1:62" s="2" customFormat="1" ht="46.5" hidden="1" customHeight="1" x14ac:dyDescent="0.2">
      <c r="A660" s="404" t="s">
        <v>906</v>
      </c>
      <c r="B660" s="381" t="s">
        <v>907</v>
      </c>
      <c r="C660" s="379" t="s">
        <v>236</v>
      </c>
      <c r="D660" s="13">
        <v>166.97</v>
      </c>
      <c r="E660" s="96">
        <f t="shared" si="38"/>
        <v>33.39</v>
      </c>
      <c r="F660" s="154">
        <f>D660+E660</f>
        <v>200.36</v>
      </c>
      <c r="G660" s="412"/>
      <c r="H660" s="253"/>
      <c r="I660" s="34"/>
      <c r="J660" s="253"/>
      <c r="K660" s="308"/>
      <c r="L660" s="253"/>
      <c r="M660" s="253"/>
      <c r="N660" s="253"/>
      <c r="O660" s="253"/>
      <c r="P660" s="253"/>
      <c r="Q660" s="253"/>
      <c r="R660" s="253"/>
      <c r="S660" s="253"/>
      <c r="Y660" s="89"/>
      <c r="BI660" s="89"/>
      <c r="BJ660" s="305"/>
    </row>
    <row r="661" spans="1:62" s="2" customFormat="1" ht="15.75" hidden="1" customHeight="1" x14ac:dyDescent="0.2">
      <c r="A661" s="404" t="s">
        <v>908</v>
      </c>
      <c r="B661" s="381" t="s">
        <v>731</v>
      </c>
      <c r="C661" s="379" t="s">
        <v>236</v>
      </c>
      <c r="D661" s="13">
        <v>209.1</v>
      </c>
      <c r="E661" s="96">
        <f t="shared" si="38"/>
        <v>41.82</v>
      </c>
      <c r="F661" s="154">
        <f t="shared" si="39"/>
        <v>250.92</v>
      </c>
      <c r="G661" s="412"/>
      <c r="H661" s="253"/>
      <c r="I661" s="34"/>
      <c r="J661" s="253"/>
      <c r="K661" s="308"/>
      <c r="L661" s="253"/>
      <c r="M661" s="253"/>
      <c r="N661" s="253"/>
      <c r="O661" s="253"/>
      <c r="P661" s="253"/>
      <c r="Q661" s="253"/>
      <c r="R661" s="253"/>
      <c r="S661" s="253"/>
      <c r="Y661" s="89"/>
      <c r="BI661" s="89"/>
      <c r="BJ661" s="305"/>
    </row>
    <row r="662" spans="1:62" s="2" customFormat="1" ht="20.25" hidden="1" customHeight="1" x14ac:dyDescent="0.2">
      <c r="A662" s="404" t="s">
        <v>909</v>
      </c>
      <c r="B662" s="381" t="s">
        <v>910</v>
      </c>
      <c r="C662" s="379" t="s">
        <v>236</v>
      </c>
      <c r="D662" s="13">
        <v>96.8</v>
      </c>
      <c r="E662" s="96">
        <f t="shared" si="38"/>
        <v>19.36</v>
      </c>
      <c r="F662" s="154">
        <f t="shared" si="39"/>
        <v>116.16</v>
      </c>
      <c r="G662" s="412"/>
      <c r="H662" s="253"/>
      <c r="I662" s="34"/>
      <c r="J662" s="253"/>
      <c r="K662" s="308"/>
      <c r="L662" s="253"/>
      <c r="M662" s="253"/>
      <c r="N662" s="253"/>
      <c r="O662" s="253"/>
      <c r="P662" s="253"/>
      <c r="Q662" s="253"/>
      <c r="R662" s="253"/>
      <c r="S662" s="253"/>
      <c r="Y662" s="89"/>
      <c r="BI662" s="89"/>
      <c r="BJ662" s="305"/>
    </row>
    <row r="663" spans="1:62" s="2" customFormat="1" ht="18.75" hidden="1" customHeight="1" x14ac:dyDescent="0.2">
      <c r="A663" s="404" t="s">
        <v>911</v>
      </c>
      <c r="B663" s="381" t="s">
        <v>912</v>
      </c>
      <c r="C663" s="379" t="s">
        <v>236</v>
      </c>
      <c r="D663" s="13">
        <v>84.16</v>
      </c>
      <c r="E663" s="96">
        <f t="shared" si="38"/>
        <v>16.829999999999998</v>
      </c>
      <c r="F663" s="154">
        <f t="shared" si="39"/>
        <v>100.99</v>
      </c>
      <c r="G663" s="412"/>
      <c r="H663" s="253"/>
      <c r="I663" s="34"/>
      <c r="J663" s="253"/>
      <c r="K663" s="308"/>
      <c r="L663" s="253"/>
      <c r="M663" s="253"/>
      <c r="N663" s="253"/>
      <c r="O663" s="253"/>
      <c r="P663" s="253"/>
      <c r="Q663" s="253"/>
      <c r="R663" s="253"/>
      <c r="S663" s="253"/>
      <c r="Y663" s="89"/>
      <c r="BI663" s="89"/>
      <c r="BJ663" s="305"/>
    </row>
    <row r="664" spans="1:62" s="2" customFormat="1" ht="16.5" hidden="1" customHeight="1" x14ac:dyDescent="0.2">
      <c r="A664" s="404" t="s">
        <v>913</v>
      </c>
      <c r="B664" s="381" t="s">
        <v>914</v>
      </c>
      <c r="C664" s="379" t="s">
        <v>236</v>
      </c>
      <c r="D664" s="13">
        <v>62.91</v>
      </c>
      <c r="E664" s="96">
        <f t="shared" si="38"/>
        <v>12.58</v>
      </c>
      <c r="F664" s="154">
        <f t="shared" si="39"/>
        <v>75.489999999999995</v>
      </c>
      <c r="G664" s="412"/>
      <c r="H664" s="253"/>
      <c r="I664" s="34"/>
      <c r="J664" s="253"/>
      <c r="K664" s="308"/>
      <c r="L664" s="253"/>
      <c r="M664" s="253"/>
      <c r="N664" s="253"/>
      <c r="O664" s="253"/>
      <c r="P664" s="253"/>
      <c r="Q664" s="253"/>
      <c r="R664" s="253"/>
      <c r="S664" s="253"/>
      <c r="Y664" s="89"/>
      <c r="BI664" s="89"/>
      <c r="BJ664" s="305"/>
    </row>
    <row r="665" spans="1:62" s="2" customFormat="1" ht="30" hidden="1" customHeight="1" x14ac:dyDescent="0.2">
      <c r="A665" s="404" t="s">
        <v>915</v>
      </c>
      <c r="B665" s="381" t="s">
        <v>916</v>
      </c>
      <c r="C665" s="379" t="s">
        <v>236</v>
      </c>
      <c r="D665" s="13">
        <v>106.88</v>
      </c>
      <c r="E665" s="96">
        <f t="shared" si="38"/>
        <v>21.38</v>
      </c>
      <c r="F665" s="154">
        <f t="shared" si="39"/>
        <v>128.26</v>
      </c>
      <c r="G665" s="412"/>
      <c r="H665" s="253"/>
      <c r="I665" s="34"/>
      <c r="J665" s="253"/>
      <c r="K665" s="308"/>
      <c r="L665" s="253"/>
      <c r="M665" s="253"/>
      <c r="N665" s="253"/>
      <c r="O665" s="253"/>
      <c r="P665" s="253"/>
      <c r="Q665" s="253"/>
      <c r="R665" s="253"/>
      <c r="S665" s="253"/>
      <c r="Y665" s="89"/>
      <c r="BI665" s="89"/>
      <c r="BJ665" s="305"/>
    </row>
    <row r="666" spans="1:62" s="2" customFormat="1" ht="21.75" hidden="1" customHeight="1" x14ac:dyDescent="0.2">
      <c r="A666" s="404" t="s">
        <v>917</v>
      </c>
      <c r="B666" s="381" t="s">
        <v>918</v>
      </c>
      <c r="C666" s="379" t="s">
        <v>236</v>
      </c>
      <c r="D666" s="13">
        <v>96.64</v>
      </c>
      <c r="E666" s="96">
        <f t="shared" si="38"/>
        <v>19.329999999999998</v>
      </c>
      <c r="F666" s="154">
        <f t="shared" si="39"/>
        <v>115.97</v>
      </c>
      <c r="G666" s="412"/>
      <c r="H666" s="253"/>
      <c r="I666" s="34"/>
      <c r="J666" s="253"/>
      <c r="K666" s="308"/>
      <c r="L666" s="253"/>
      <c r="M666" s="253"/>
      <c r="N666" s="253"/>
      <c r="O666" s="253"/>
      <c r="P666" s="253"/>
      <c r="Q666" s="253"/>
      <c r="R666" s="253"/>
      <c r="S666" s="253"/>
      <c r="Y666" s="89"/>
      <c r="BI666" s="89"/>
      <c r="BJ666" s="305"/>
    </row>
    <row r="667" spans="1:62" s="2" customFormat="1" ht="25.5" hidden="1" customHeight="1" x14ac:dyDescent="0.2">
      <c r="A667" s="404" t="s">
        <v>919</v>
      </c>
      <c r="B667" s="381" t="s">
        <v>920</v>
      </c>
      <c r="C667" s="379" t="s">
        <v>236</v>
      </c>
      <c r="D667" s="13">
        <v>117.09</v>
      </c>
      <c r="E667" s="96">
        <f t="shared" si="38"/>
        <v>23.42</v>
      </c>
      <c r="F667" s="154">
        <f t="shared" si="39"/>
        <v>140.51</v>
      </c>
      <c r="G667" s="412"/>
      <c r="H667" s="253"/>
      <c r="I667" s="34"/>
      <c r="J667" s="253"/>
      <c r="K667" s="308"/>
      <c r="L667" s="253"/>
      <c r="M667" s="253"/>
      <c r="N667" s="253"/>
      <c r="O667" s="253"/>
      <c r="P667" s="253"/>
      <c r="Q667" s="253"/>
      <c r="R667" s="253"/>
      <c r="S667" s="253"/>
      <c r="Y667" s="89"/>
      <c r="BI667" s="89"/>
      <c r="BJ667" s="305"/>
    </row>
    <row r="668" spans="1:62" s="2" customFormat="1" ht="21.75" hidden="1" customHeight="1" x14ac:dyDescent="0.2">
      <c r="A668" s="404" t="s">
        <v>921</v>
      </c>
      <c r="B668" s="381" t="s">
        <v>922</v>
      </c>
      <c r="C668" s="379" t="s">
        <v>236</v>
      </c>
      <c r="D668" s="13">
        <v>100.1</v>
      </c>
      <c r="E668" s="96">
        <f t="shared" si="38"/>
        <v>20.02</v>
      </c>
      <c r="F668" s="154">
        <f>D668+E668</f>
        <v>120.12</v>
      </c>
      <c r="G668" s="412"/>
      <c r="H668" s="253"/>
      <c r="I668" s="34"/>
      <c r="J668" s="253"/>
      <c r="K668" s="308"/>
      <c r="L668" s="253"/>
      <c r="M668" s="253"/>
      <c r="N668" s="253"/>
      <c r="O668" s="253"/>
      <c r="P668" s="253"/>
      <c r="Q668" s="253"/>
      <c r="R668" s="253"/>
      <c r="S668" s="253"/>
      <c r="Y668" s="89"/>
      <c r="BI668" s="89"/>
      <c r="BJ668" s="305"/>
    </row>
    <row r="669" spans="1:62" s="2" customFormat="1" ht="29.25" hidden="1" customHeight="1" x14ac:dyDescent="0.2">
      <c r="A669" s="404" t="s">
        <v>924</v>
      </c>
      <c r="B669" s="381" t="s">
        <v>741</v>
      </c>
      <c r="C669" s="379" t="s">
        <v>236</v>
      </c>
      <c r="D669" s="13">
        <v>43.55</v>
      </c>
      <c r="E669" s="96">
        <f t="shared" si="38"/>
        <v>8.7100000000000009</v>
      </c>
      <c r="F669" s="154">
        <f>D669+E669</f>
        <v>52.26</v>
      </c>
      <c r="G669" s="412"/>
      <c r="H669" s="253"/>
      <c r="I669" s="34"/>
      <c r="J669" s="253"/>
      <c r="K669" s="308"/>
      <c r="L669" s="253"/>
      <c r="M669" s="253"/>
      <c r="N669" s="253"/>
      <c r="O669" s="253"/>
      <c r="P669" s="253"/>
      <c r="Q669" s="253"/>
      <c r="R669" s="253"/>
      <c r="S669" s="253"/>
      <c r="Y669" s="89"/>
      <c r="BI669" s="89"/>
      <c r="BJ669" s="305"/>
    </row>
    <row r="670" spans="1:62" s="2" customFormat="1" ht="16.5" customHeight="1" x14ac:dyDescent="0.2">
      <c r="A670" s="404"/>
      <c r="B670" s="430" t="s">
        <v>464</v>
      </c>
      <c r="C670" s="430"/>
      <c r="D670" s="430"/>
      <c r="E670" s="208"/>
      <c r="F670" s="208"/>
      <c r="G670" s="412"/>
      <c r="H670" s="253"/>
      <c r="I670" s="34"/>
      <c r="J670" s="253"/>
      <c r="K670" s="308"/>
      <c r="L670" s="253"/>
      <c r="M670" s="253"/>
      <c r="N670" s="253"/>
      <c r="O670" s="253"/>
      <c r="P670" s="253"/>
      <c r="Q670" s="253"/>
      <c r="R670" s="253"/>
      <c r="S670" s="253"/>
      <c r="Y670" s="89"/>
      <c r="BI670" s="89"/>
      <c r="BJ670" s="305"/>
    </row>
    <row r="671" spans="1:62" s="2" customFormat="1" ht="16.5" hidden="1" customHeight="1" x14ac:dyDescent="0.2">
      <c r="A671" s="404" t="s">
        <v>923</v>
      </c>
      <c r="B671" s="381" t="s">
        <v>1803</v>
      </c>
      <c r="C671" s="379" t="s">
        <v>236</v>
      </c>
      <c r="D671" s="13">
        <v>268.45999999999998</v>
      </c>
      <c r="E671" s="96">
        <f>D671*20%</f>
        <v>53.69</v>
      </c>
      <c r="F671" s="154">
        <f t="shared" ref="F671:F682" si="40">D671+E671</f>
        <v>322.14999999999998</v>
      </c>
      <c r="G671" s="412"/>
      <c r="H671" s="253"/>
      <c r="I671" s="34"/>
      <c r="J671" s="253"/>
      <c r="K671" s="308"/>
      <c r="L671" s="253"/>
      <c r="M671" s="253"/>
      <c r="N671" s="253"/>
      <c r="O671" s="253"/>
      <c r="P671" s="253"/>
      <c r="Q671" s="253"/>
      <c r="R671" s="253"/>
      <c r="S671" s="253"/>
      <c r="Y671" s="89"/>
      <c r="BI671" s="89"/>
      <c r="BJ671" s="305"/>
    </row>
    <row r="672" spans="1:62" s="2" customFormat="1" ht="18" customHeight="1" x14ac:dyDescent="0.2">
      <c r="A672" s="404" t="s">
        <v>2330</v>
      </c>
      <c r="B672" s="392" t="s">
        <v>1804</v>
      </c>
      <c r="C672" s="122" t="s">
        <v>1666</v>
      </c>
      <c r="D672" s="13">
        <v>285.77</v>
      </c>
      <c r="E672" s="96"/>
      <c r="F672" s="154">
        <f>D672+E672</f>
        <v>285.77</v>
      </c>
      <c r="G672" s="412"/>
      <c r="H672" s="253"/>
      <c r="I672" s="34"/>
      <c r="J672" s="253"/>
      <c r="K672" s="308"/>
      <c r="L672" s="253"/>
      <c r="M672" s="253"/>
      <c r="N672" s="253"/>
      <c r="O672" s="253"/>
      <c r="P672" s="253"/>
      <c r="Q672" s="253"/>
      <c r="R672" s="253"/>
      <c r="S672" s="253"/>
      <c r="Y672" s="89"/>
      <c r="BI672" s="89"/>
      <c r="BJ672" s="305"/>
    </row>
    <row r="673" spans="1:62" s="2" customFormat="1" ht="18" hidden="1" customHeight="1" x14ac:dyDescent="0.2">
      <c r="A673" s="404" t="s">
        <v>2067</v>
      </c>
      <c r="B673" s="392" t="s">
        <v>1805</v>
      </c>
      <c r="C673" s="122" t="s">
        <v>1666</v>
      </c>
      <c r="D673" s="85">
        <v>128.52000000000001</v>
      </c>
      <c r="E673" s="96"/>
      <c r="F673" s="154">
        <f t="shared" si="40"/>
        <v>128.52000000000001</v>
      </c>
      <c r="G673" s="412"/>
      <c r="H673" s="253"/>
      <c r="I673" s="34"/>
      <c r="J673" s="253"/>
      <c r="K673" s="308"/>
      <c r="L673" s="253"/>
      <c r="M673" s="253"/>
      <c r="N673" s="253"/>
      <c r="O673" s="253"/>
      <c r="P673" s="253"/>
      <c r="Q673" s="253"/>
      <c r="R673" s="253"/>
      <c r="S673" s="253"/>
      <c r="Y673" s="89"/>
      <c r="BI673" s="89"/>
      <c r="BJ673" s="305"/>
    </row>
    <row r="674" spans="1:62" s="2" customFormat="1" ht="18.75" hidden="1" customHeight="1" x14ac:dyDescent="0.2">
      <c r="A674" s="404" t="s">
        <v>2068</v>
      </c>
      <c r="B674" s="381" t="s">
        <v>1806</v>
      </c>
      <c r="C674" s="122" t="s">
        <v>1666</v>
      </c>
      <c r="D674" s="85">
        <v>128.52000000000001</v>
      </c>
      <c r="E674" s="96"/>
      <c r="F674" s="154">
        <f t="shared" si="40"/>
        <v>128.52000000000001</v>
      </c>
      <c r="G674" s="412"/>
      <c r="H674" s="253"/>
      <c r="I674" s="34"/>
      <c r="J674" s="253"/>
      <c r="K674" s="308"/>
      <c r="L674" s="253"/>
      <c r="M674" s="253"/>
      <c r="N674" s="253"/>
      <c r="O674" s="253"/>
      <c r="P674" s="253"/>
      <c r="Q674" s="253"/>
      <c r="R674" s="253"/>
      <c r="S674" s="253"/>
      <c r="Y674" s="89"/>
      <c r="BI674" s="89"/>
      <c r="BJ674" s="305"/>
    </row>
    <row r="675" spans="1:62" s="2" customFormat="1" ht="19.5" customHeight="1" x14ac:dyDescent="0.2">
      <c r="A675" s="404" t="s">
        <v>2331</v>
      </c>
      <c r="B675" s="381" t="s">
        <v>1807</v>
      </c>
      <c r="C675" s="122" t="s">
        <v>1666</v>
      </c>
      <c r="D675" s="85">
        <v>144.80000000000001</v>
      </c>
      <c r="E675" s="96"/>
      <c r="F675" s="154">
        <f t="shared" si="40"/>
        <v>144.80000000000001</v>
      </c>
      <c r="G675" s="412"/>
      <c r="H675" s="253"/>
      <c r="I675" s="34"/>
      <c r="J675" s="253"/>
      <c r="K675" s="308"/>
      <c r="L675" s="253"/>
      <c r="M675" s="253"/>
      <c r="N675" s="253"/>
      <c r="O675" s="253"/>
      <c r="P675" s="253"/>
      <c r="Q675" s="253"/>
      <c r="R675" s="253"/>
      <c r="S675" s="253"/>
      <c r="Y675" s="89"/>
      <c r="BI675" s="89"/>
      <c r="BJ675" s="305"/>
    </row>
    <row r="676" spans="1:62" s="2" customFormat="1" ht="21.75" hidden="1" customHeight="1" x14ac:dyDescent="0.2">
      <c r="A676" s="404" t="s">
        <v>2069</v>
      </c>
      <c r="B676" s="381" t="s">
        <v>1808</v>
      </c>
      <c r="C676" s="122" t="s">
        <v>1666</v>
      </c>
      <c r="D676" s="85">
        <v>168.35</v>
      </c>
      <c r="E676" s="96"/>
      <c r="F676" s="154">
        <f t="shared" si="40"/>
        <v>168.35</v>
      </c>
      <c r="G676" s="412"/>
      <c r="H676" s="253"/>
      <c r="I676" s="34"/>
      <c r="J676" s="253"/>
      <c r="K676" s="308"/>
      <c r="L676" s="253"/>
      <c r="M676" s="253"/>
      <c r="N676" s="253"/>
      <c r="O676" s="253"/>
      <c r="P676" s="253"/>
      <c r="Q676" s="253"/>
      <c r="R676" s="253"/>
      <c r="S676" s="253"/>
      <c r="Y676" s="89"/>
      <c r="BI676" s="89"/>
      <c r="BJ676" s="305"/>
    </row>
    <row r="677" spans="1:62" s="2" customFormat="1" ht="15" customHeight="1" x14ac:dyDescent="0.2">
      <c r="A677" s="404" t="s">
        <v>2332</v>
      </c>
      <c r="B677" s="381" t="s">
        <v>1809</v>
      </c>
      <c r="C677" s="122" t="s">
        <v>1666</v>
      </c>
      <c r="D677" s="85">
        <v>203.5</v>
      </c>
      <c r="E677" s="96"/>
      <c r="F677" s="154">
        <f t="shared" si="40"/>
        <v>203.5</v>
      </c>
      <c r="G677" s="412"/>
      <c r="H677" s="253"/>
      <c r="I677" s="34"/>
      <c r="J677" s="253"/>
      <c r="K677" s="308"/>
      <c r="L677" s="253"/>
      <c r="M677" s="253"/>
      <c r="N677" s="253"/>
      <c r="O677" s="253"/>
      <c r="P677" s="253"/>
      <c r="Q677" s="253"/>
      <c r="R677" s="253"/>
      <c r="S677" s="253"/>
      <c r="Y677" s="89"/>
      <c r="BI677" s="89"/>
      <c r="BJ677" s="305"/>
    </row>
    <row r="678" spans="1:62" s="2" customFormat="1" ht="46.5" customHeight="1" x14ac:dyDescent="0.2">
      <c r="A678" s="404" t="s">
        <v>2333</v>
      </c>
      <c r="B678" s="381" t="s">
        <v>932</v>
      </c>
      <c r="C678" s="122" t="s">
        <v>1666</v>
      </c>
      <c r="D678" s="13">
        <v>425.62</v>
      </c>
      <c r="E678" s="96"/>
      <c r="F678" s="154">
        <f t="shared" si="40"/>
        <v>425.62</v>
      </c>
      <c r="G678" s="412"/>
      <c r="H678" s="253"/>
      <c r="I678" s="34"/>
      <c r="J678" s="253"/>
      <c r="K678" s="308"/>
      <c r="L678" s="253"/>
      <c r="M678" s="253"/>
      <c r="N678" s="253"/>
      <c r="O678" s="253"/>
      <c r="P678" s="253"/>
      <c r="Q678" s="253"/>
      <c r="R678" s="253"/>
      <c r="S678" s="253"/>
      <c r="Y678" s="89"/>
      <c r="BI678" s="89"/>
      <c r="BJ678" s="305"/>
    </row>
    <row r="679" spans="1:62" s="2" customFormat="1" ht="33" hidden="1" customHeight="1" x14ac:dyDescent="0.2">
      <c r="A679" s="404" t="s">
        <v>2070</v>
      </c>
      <c r="B679" s="381" t="s">
        <v>933</v>
      </c>
      <c r="C679" s="379" t="s">
        <v>236</v>
      </c>
      <c r="D679" s="262">
        <v>355</v>
      </c>
      <c r="E679" s="96">
        <f>D679*20%</f>
        <v>71</v>
      </c>
      <c r="F679" s="154">
        <f t="shared" si="40"/>
        <v>426</v>
      </c>
      <c r="G679" s="412"/>
      <c r="H679" s="253"/>
      <c r="I679" s="34"/>
      <c r="J679" s="253"/>
      <c r="K679" s="308"/>
      <c r="L679" s="253"/>
      <c r="M679" s="253"/>
      <c r="N679" s="253"/>
      <c r="O679" s="253"/>
      <c r="P679" s="253"/>
      <c r="Q679" s="253"/>
      <c r="R679" s="253"/>
      <c r="S679" s="253"/>
      <c r="Y679" s="89"/>
      <c r="BI679" s="89"/>
      <c r="BJ679" s="305"/>
    </row>
    <row r="680" spans="1:62" s="2" customFormat="1" ht="18" hidden="1" customHeight="1" x14ac:dyDescent="0.2">
      <c r="A680" s="404" t="s">
        <v>2071</v>
      </c>
      <c r="B680" s="381" t="s">
        <v>934</v>
      </c>
      <c r="C680" s="379" t="s">
        <v>236</v>
      </c>
      <c r="D680" s="262">
        <v>348.02</v>
      </c>
      <c r="E680" s="96">
        <f>D680*20%</f>
        <v>69.599999999999994</v>
      </c>
      <c r="F680" s="154">
        <f t="shared" si="40"/>
        <v>417.62</v>
      </c>
      <c r="G680" s="412"/>
      <c r="H680" s="253"/>
      <c r="I680" s="34"/>
      <c r="J680" s="253"/>
      <c r="K680" s="308"/>
      <c r="L680" s="253"/>
      <c r="M680" s="253"/>
      <c r="N680" s="253"/>
      <c r="O680" s="253"/>
      <c r="P680" s="253"/>
      <c r="Q680" s="253"/>
      <c r="R680" s="253"/>
      <c r="S680" s="253"/>
      <c r="Y680" s="89"/>
      <c r="BI680" s="89"/>
      <c r="BJ680" s="305"/>
    </row>
    <row r="681" spans="1:62" s="2" customFormat="1" ht="18" hidden="1" customHeight="1" x14ac:dyDescent="0.2">
      <c r="A681" s="404" t="s">
        <v>2072</v>
      </c>
      <c r="B681" s="381" t="s">
        <v>935</v>
      </c>
      <c r="C681" s="379" t="s">
        <v>236</v>
      </c>
      <c r="D681" s="262">
        <v>320.60000000000002</v>
      </c>
      <c r="E681" s="96">
        <f>D681*20%</f>
        <v>64.12</v>
      </c>
      <c r="F681" s="154">
        <f t="shared" si="40"/>
        <v>384.72</v>
      </c>
      <c r="G681" s="412"/>
      <c r="H681" s="253"/>
      <c r="I681" s="34"/>
      <c r="J681" s="253"/>
      <c r="K681" s="308"/>
      <c r="L681" s="253"/>
      <c r="M681" s="253"/>
      <c r="N681" s="253"/>
      <c r="O681" s="253"/>
      <c r="P681" s="253"/>
      <c r="Q681" s="253"/>
      <c r="R681" s="253"/>
      <c r="S681" s="253"/>
      <c r="Y681" s="89"/>
      <c r="BI681" s="89"/>
      <c r="BJ681" s="305"/>
    </row>
    <row r="682" spans="1:62" s="2" customFormat="1" ht="30" hidden="1" customHeight="1" x14ac:dyDescent="0.2">
      <c r="A682" s="404" t="s">
        <v>2073</v>
      </c>
      <c r="B682" s="381" t="s">
        <v>936</v>
      </c>
      <c r="C682" s="379" t="s">
        <v>236</v>
      </c>
      <c r="D682" s="262">
        <v>158.16</v>
      </c>
      <c r="E682" s="96">
        <f>D682*20%</f>
        <v>31.63</v>
      </c>
      <c r="F682" s="154">
        <f t="shared" si="40"/>
        <v>189.79</v>
      </c>
      <c r="G682" s="412"/>
      <c r="H682" s="253"/>
      <c r="I682" s="34"/>
      <c r="J682" s="253"/>
      <c r="K682" s="308"/>
      <c r="L682" s="253"/>
      <c r="M682" s="253"/>
      <c r="N682" s="253"/>
      <c r="O682" s="253"/>
      <c r="P682" s="253"/>
      <c r="Q682" s="253"/>
      <c r="R682" s="253"/>
      <c r="S682" s="253"/>
      <c r="Y682" s="89"/>
      <c r="BI682" s="89"/>
      <c r="BJ682" s="305"/>
    </row>
    <row r="683" spans="1:62" s="2" customFormat="1" ht="19.5" hidden="1" customHeight="1" x14ac:dyDescent="0.2">
      <c r="A683" s="404" t="s">
        <v>2074</v>
      </c>
      <c r="B683" s="429" t="s">
        <v>937</v>
      </c>
      <c r="C683" s="429"/>
      <c r="D683" s="429"/>
      <c r="E683" s="429"/>
      <c r="F683" s="533"/>
      <c r="G683" s="412"/>
      <c r="H683" s="253"/>
      <c r="I683" s="34"/>
      <c r="J683" s="253"/>
      <c r="K683" s="308"/>
      <c r="L683" s="253"/>
      <c r="M683" s="253"/>
      <c r="N683" s="253"/>
      <c r="O683" s="253"/>
      <c r="P683" s="253"/>
      <c r="Q683" s="253"/>
      <c r="R683" s="253"/>
      <c r="S683" s="253"/>
      <c r="Y683" s="89"/>
      <c r="BI683" s="89"/>
      <c r="BJ683" s="305"/>
    </row>
    <row r="684" spans="1:62" s="2" customFormat="1" ht="33.75" hidden="1" customHeight="1" x14ac:dyDescent="0.2">
      <c r="A684" s="404" t="s">
        <v>2075</v>
      </c>
      <c r="B684" s="381" t="s">
        <v>939</v>
      </c>
      <c r="C684" s="379" t="s">
        <v>236</v>
      </c>
      <c r="D684" s="262">
        <v>159.12</v>
      </c>
      <c r="E684" s="96">
        <f t="shared" ref="E684:E692" si="41">D684*20%</f>
        <v>31.82</v>
      </c>
      <c r="F684" s="154">
        <f t="shared" ref="F684:F692" si="42">D684+E684</f>
        <v>190.94</v>
      </c>
      <c r="G684" s="412"/>
      <c r="H684" s="253"/>
      <c r="I684" s="34"/>
      <c r="J684" s="253"/>
      <c r="K684" s="308"/>
      <c r="L684" s="253"/>
      <c r="M684" s="253"/>
      <c r="N684" s="253"/>
      <c r="O684" s="253"/>
      <c r="P684" s="253"/>
      <c r="Q684" s="253"/>
      <c r="R684" s="253"/>
      <c r="S684" s="253"/>
      <c r="Y684" s="89"/>
      <c r="BI684" s="89"/>
      <c r="BJ684" s="305"/>
    </row>
    <row r="685" spans="1:62" s="2" customFormat="1" ht="29.25" hidden="1" customHeight="1" x14ac:dyDescent="0.2">
      <c r="A685" s="404" t="s">
        <v>2076</v>
      </c>
      <c r="B685" s="381" t="s">
        <v>941</v>
      </c>
      <c r="C685" s="379" t="s">
        <v>236</v>
      </c>
      <c r="D685" s="262">
        <v>194.48</v>
      </c>
      <c r="E685" s="96">
        <f t="shared" si="41"/>
        <v>38.9</v>
      </c>
      <c r="F685" s="154">
        <f t="shared" si="42"/>
        <v>233.38</v>
      </c>
      <c r="G685" s="412"/>
      <c r="H685" s="253"/>
      <c r="I685" s="34"/>
      <c r="J685" s="253"/>
      <c r="K685" s="308"/>
      <c r="L685" s="253"/>
      <c r="M685" s="253"/>
      <c r="N685" s="253"/>
      <c r="O685" s="253"/>
      <c r="P685" s="253"/>
      <c r="Q685" s="253"/>
      <c r="R685" s="253"/>
      <c r="S685" s="253"/>
      <c r="Y685" s="89"/>
      <c r="BI685" s="89"/>
      <c r="BJ685" s="305"/>
    </row>
    <row r="686" spans="1:62" s="2" customFormat="1" ht="27.75" hidden="1" customHeight="1" x14ac:dyDescent="0.2">
      <c r="A686" s="404" t="s">
        <v>2077</v>
      </c>
      <c r="B686" s="381" t="s">
        <v>943</v>
      </c>
      <c r="C686" s="379" t="s">
        <v>236</v>
      </c>
      <c r="D686" s="262">
        <v>92.66</v>
      </c>
      <c r="E686" s="96">
        <f t="shared" si="41"/>
        <v>18.53</v>
      </c>
      <c r="F686" s="154">
        <f t="shared" si="42"/>
        <v>111.19</v>
      </c>
      <c r="G686" s="412"/>
      <c r="H686" s="253"/>
      <c r="I686" s="34"/>
      <c r="J686" s="253"/>
      <c r="K686" s="308"/>
      <c r="L686" s="253"/>
      <c r="M686" s="253"/>
      <c r="N686" s="253"/>
      <c r="O686" s="253"/>
      <c r="P686" s="253"/>
      <c r="Q686" s="253"/>
      <c r="R686" s="253"/>
      <c r="S686" s="253"/>
      <c r="Y686" s="89"/>
      <c r="BI686" s="89"/>
      <c r="BJ686" s="305"/>
    </row>
    <row r="687" spans="1:62" s="2" customFormat="1" ht="21.75" hidden="1" customHeight="1" x14ac:dyDescent="0.2">
      <c r="A687" s="404" t="s">
        <v>2078</v>
      </c>
      <c r="B687" s="381" t="s">
        <v>944</v>
      </c>
      <c r="C687" s="379" t="s">
        <v>236</v>
      </c>
      <c r="D687" s="262">
        <v>195.97</v>
      </c>
      <c r="E687" s="96">
        <f t="shared" si="41"/>
        <v>39.19</v>
      </c>
      <c r="F687" s="154">
        <f t="shared" si="42"/>
        <v>235.16</v>
      </c>
      <c r="G687" s="412"/>
      <c r="H687" s="253"/>
      <c r="I687" s="34"/>
      <c r="J687" s="253"/>
      <c r="K687" s="308"/>
      <c r="L687" s="253"/>
      <c r="M687" s="253"/>
      <c r="N687" s="253"/>
      <c r="O687" s="253"/>
      <c r="P687" s="253"/>
      <c r="Q687" s="253"/>
      <c r="R687" s="253"/>
      <c r="S687" s="253"/>
      <c r="Y687" s="89"/>
      <c r="BI687" s="89"/>
      <c r="BJ687" s="305"/>
    </row>
    <row r="688" spans="1:62" s="2" customFormat="1" ht="21.75" hidden="1" customHeight="1" x14ac:dyDescent="0.2">
      <c r="A688" s="404" t="s">
        <v>2079</v>
      </c>
      <c r="B688" s="381" t="s">
        <v>945</v>
      </c>
      <c r="C688" s="379" t="s">
        <v>236</v>
      </c>
      <c r="D688" s="262">
        <v>95.82</v>
      </c>
      <c r="E688" s="96">
        <f t="shared" si="41"/>
        <v>19.16</v>
      </c>
      <c r="F688" s="154">
        <f>D688+E688</f>
        <v>114.98</v>
      </c>
      <c r="G688" s="412"/>
      <c r="H688" s="253"/>
      <c r="I688" s="34"/>
      <c r="J688" s="253"/>
      <c r="K688" s="308"/>
      <c r="L688" s="253"/>
      <c r="M688" s="253"/>
      <c r="N688" s="253"/>
      <c r="O688" s="253"/>
      <c r="P688" s="253"/>
      <c r="Q688" s="253"/>
      <c r="R688" s="253"/>
      <c r="S688" s="253"/>
      <c r="Y688" s="89"/>
      <c r="BI688" s="89"/>
      <c r="BJ688" s="305"/>
    </row>
    <row r="689" spans="1:62" s="2" customFormat="1" ht="20.25" hidden="1" customHeight="1" x14ac:dyDescent="0.2">
      <c r="A689" s="404" t="s">
        <v>2080</v>
      </c>
      <c r="B689" s="381" t="s">
        <v>946</v>
      </c>
      <c r="C689" s="379" t="s">
        <v>236</v>
      </c>
      <c r="D689" s="266">
        <v>59.28</v>
      </c>
      <c r="E689" s="96">
        <f t="shared" si="41"/>
        <v>11.86</v>
      </c>
      <c r="F689" s="154">
        <f>D689+E689</f>
        <v>71.14</v>
      </c>
      <c r="G689" s="412"/>
      <c r="H689" s="253"/>
      <c r="I689" s="34"/>
      <c r="J689" s="253"/>
      <c r="K689" s="308"/>
      <c r="L689" s="253"/>
      <c r="M689" s="253"/>
      <c r="N689" s="253"/>
      <c r="O689" s="253"/>
      <c r="P689" s="253"/>
      <c r="Q689" s="253"/>
      <c r="R689" s="253"/>
      <c r="S689" s="253"/>
      <c r="Y689" s="89"/>
      <c r="BI689" s="89"/>
      <c r="BJ689" s="305"/>
    </row>
    <row r="690" spans="1:62" s="2" customFormat="1" ht="31.5" hidden="1" customHeight="1" x14ac:dyDescent="0.2">
      <c r="A690" s="404" t="s">
        <v>2081</v>
      </c>
      <c r="B690" s="381" t="s">
        <v>947</v>
      </c>
      <c r="C690" s="379" t="s">
        <v>236</v>
      </c>
      <c r="D690" s="262">
        <v>21.54</v>
      </c>
      <c r="E690" s="96">
        <f t="shared" si="41"/>
        <v>4.3099999999999996</v>
      </c>
      <c r="F690" s="154">
        <f>D690+E690</f>
        <v>25.85</v>
      </c>
      <c r="G690" s="412"/>
      <c r="H690" s="253"/>
      <c r="I690" s="34"/>
      <c r="J690" s="253"/>
      <c r="K690" s="308"/>
      <c r="L690" s="253"/>
      <c r="M690" s="253"/>
      <c r="N690" s="253"/>
      <c r="O690" s="253"/>
      <c r="P690" s="253"/>
      <c r="Q690" s="253"/>
      <c r="R690" s="253"/>
      <c r="S690" s="253"/>
      <c r="Y690" s="89"/>
      <c r="BI690" s="89"/>
      <c r="BJ690" s="305"/>
    </row>
    <row r="691" spans="1:62" s="2" customFormat="1" ht="17.25" hidden="1" customHeight="1" x14ac:dyDescent="0.2">
      <c r="A691" s="404" t="s">
        <v>2082</v>
      </c>
      <c r="B691" s="381" t="s">
        <v>948</v>
      </c>
      <c r="C691" s="379" t="s">
        <v>236</v>
      </c>
      <c r="D691" s="262">
        <v>17.52</v>
      </c>
      <c r="E691" s="96">
        <f t="shared" si="41"/>
        <v>3.5</v>
      </c>
      <c r="F691" s="154">
        <f>D691+E691</f>
        <v>21.02</v>
      </c>
      <c r="G691" s="412"/>
      <c r="H691" s="253"/>
      <c r="I691" s="34"/>
      <c r="J691" s="253"/>
      <c r="K691" s="308"/>
      <c r="L691" s="253"/>
      <c r="M691" s="253"/>
      <c r="N691" s="253"/>
      <c r="O691" s="253"/>
      <c r="P691" s="253"/>
      <c r="Q691" s="253"/>
      <c r="R691" s="253"/>
      <c r="S691" s="253"/>
      <c r="Y691" s="89"/>
      <c r="BI691" s="89"/>
      <c r="BJ691" s="305"/>
    </row>
    <row r="692" spans="1:62" s="2" customFormat="1" ht="18.75" hidden="1" customHeight="1" x14ac:dyDescent="0.2">
      <c r="A692" s="404" t="s">
        <v>2083</v>
      </c>
      <c r="B692" s="381" t="s">
        <v>949</v>
      </c>
      <c r="C692" s="379" t="s">
        <v>236</v>
      </c>
      <c r="D692" s="262">
        <v>163.02000000000001</v>
      </c>
      <c r="E692" s="96">
        <f t="shared" si="41"/>
        <v>32.6</v>
      </c>
      <c r="F692" s="154">
        <f t="shared" si="42"/>
        <v>195.62</v>
      </c>
      <c r="G692" s="412"/>
      <c r="H692" s="253"/>
      <c r="I692" s="34"/>
      <c r="J692" s="253"/>
      <c r="K692" s="308"/>
      <c r="L692" s="253"/>
      <c r="M692" s="253"/>
      <c r="N692" s="253"/>
      <c r="O692" s="253"/>
      <c r="P692" s="253"/>
      <c r="Q692" s="253"/>
      <c r="R692" s="253"/>
      <c r="S692" s="253"/>
      <c r="Y692" s="89"/>
      <c r="BI692" s="89"/>
      <c r="BJ692" s="305"/>
    </row>
    <row r="693" spans="1:62" s="2" customFormat="1" ht="22.5" hidden="1" customHeight="1" x14ac:dyDescent="0.2">
      <c r="A693" s="404" t="s">
        <v>2084</v>
      </c>
      <c r="B693" s="429" t="s">
        <v>950</v>
      </c>
      <c r="C693" s="429"/>
      <c r="D693" s="429"/>
      <c r="E693" s="429"/>
      <c r="F693" s="533"/>
      <c r="G693" s="412"/>
      <c r="H693" s="253"/>
      <c r="I693" s="34"/>
      <c r="J693" s="253"/>
      <c r="K693" s="308"/>
      <c r="L693" s="253"/>
      <c r="M693" s="253"/>
      <c r="N693" s="253"/>
      <c r="O693" s="253"/>
      <c r="P693" s="253"/>
      <c r="Q693" s="253"/>
      <c r="R693" s="253"/>
      <c r="S693" s="253"/>
      <c r="Y693" s="89"/>
      <c r="BI693" s="89"/>
      <c r="BJ693" s="305"/>
    </row>
    <row r="694" spans="1:62" s="2" customFormat="1" ht="33.75" hidden="1" customHeight="1" x14ac:dyDescent="0.2">
      <c r="A694" s="404" t="s">
        <v>2085</v>
      </c>
      <c r="B694" s="381" t="s">
        <v>952</v>
      </c>
      <c r="C694" s="379" t="s">
        <v>236</v>
      </c>
      <c r="D694" s="262">
        <v>32.56</v>
      </c>
      <c r="E694" s="96">
        <f>D694*20%</f>
        <v>6.51</v>
      </c>
      <c r="F694" s="154">
        <f>D694+E694</f>
        <v>39.07</v>
      </c>
      <c r="G694" s="412"/>
      <c r="H694" s="253"/>
      <c r="I694" s="34"/>
      <c r="J694" s="253"/>
      <c r="K694" s="308"/>
      <c r="L694" s="253"/>
      <c r="M694" s="253"/>
      <c r="N694" s="253"/>
      <c r="O694" s="253"/>
      <c r="P694" s="253"/>
      <c r="Q694" s="253"/>
      <c r="R694" s="253"/>
      <c r="S694" s="253"/>
      <c r="Y694" s="89"/>
      <c r="BI694" s="89"/>
      <c r="BJ694" s="305"/>
    </row>
    <row r="695" spans="1:62" s="2" customFormat="1" ht="30" hidden="1" customHeight="1" x14ac:dyDescent="0.2">
      <c r="A695" s="404" t="s">
        <v>2086</v>
      </c>
      <c r="B695" s="381" t="s">
        <v>954</v>
      </c>
      <c r="C695" s="379" t="s">
        <v>236</v>
      </c>
      <c r="D695" s="262">
        <v>37.340000000000003</v>
      </c>
      <c r="E695" s="96">
        <f>D695*20%</f>
        <v>7.47</v>
      </c>
      <c r="F695" s="154">
        <f>D695+E695</f>
        <v>44.81</v>
      </c>
      <c r="G695" s="412"/>
      <c r="H695" s="253"/>
      <c r="I695" s="34"/>
      <c r="J695" s="253"/>
      <c r="K695" s="308"/>
      <c r="L695" s="253"/>
      <c r="M695" s="253"/>
      <c r="N695" s="253"/>
      <c r="O695" s="253"/>
      <c r="P695" s="253"/>
      <c r="Q695" s="253"/>
      <c r="R695" s="253"/>
      <c r="S695" s="253"/>
      <c r="Y695" s="89"/>
      <c r="BI695" s="89"/>
      <c r="BJ695" s="305"/>
    </row>
    <row r="696" spans="1:62" s="2" customFormat="1" ht="37.5" hidden="1" customHeight="1" x14ac:dyDescent="0.2">
      <c r="A696" s="404" t="s">
        <v>2087</v>
      </c>
      <c r="B696" s="381" t="s">
        <v>956</v>
      </c>
      <c r="C696" s="379" t="s">
        <v>236</v>
      </c>
      <c r="D696" s="262">
        <v>115.89</v>
      </c>
      <c r="E696" s="96">
        <f>D696*20%</f>
        <v>23.18</v>
      </c>
      <c r="F696" s="154">
        <f>D696+E696</f>
        <v>139.07</v>
      </c>
      <c r="G696" s="412"/>
      <c r="H696" s="253"/>
      <c r="I696" s="34"/>
      <c r="J696" s="253"/>
      <c r="K696" s="308"/>
      <c r="L696" s="253"/>
      <c r="M696" s="253"/>
      <c r="N696" s="253"/>
      <c r="O696" s="253"/>
      <c r="P696" s="253"/>
      <c r="Q696" s="253"/>
      <c r="R696" s="253"/>
      <c r="S696" s="253"/>
      <c r="Y696" s="89"/>
      <c r="BI696" s="89"/>
      <c r="BJ696" s="305"/>
    </row>
    <row r="697" spans="1:62" s="2" customFormat="1" ht="19.5" hidden="1" customHeight="1" x14ac:dyDescent="0.2">
      <c r="A697" s="404" t="s">
        <v>2088</v>
      </c>
      <c r="B697" s="429" t="s">
        <v>957</v>
      </c>
      <c r="C697" s="429"/>
      <c r="D697" s="429"/>
      <c r="E697" s="429"/>
      <c r="F697" s="533"/>
      <c r="G697" s="412"/>
      <c r="H697" s="253"/>
      <c r="I697" s="34"/>
      <c r="J697" s="253"/>
      <c r="K697" s="308"/>
      <c r="L697" s="253"/>
      <c r="M697" s="253"/>
      <c r="N697" s="253"/>
      <c r="O697" s="253"/>
      <c r="P697" s="253"/>
      <c r="Q697" s="253"/>
      <c r="R697" s="253"/>
      <c r="S697" s="253"/>
      <c r="Y697" s="89"/>
      <c r="BI697" s="89"/>
      <c r="BJ697" s="305"/>
    </row>
    <row r="698" spans="1:62" s="2" customFormat="1" ht="33" hidden="1" customHeight="1" x14ac:dyDescent="0.2">
      <c r="A698" s="404" t="s">
        <v>2089</v>
      </c>
      <c r="B698" s="381" t="s">
        <v>959</v>
      </c>
      <c r="C698" s="379" t="s">
        <v>960</v>
      </c>
      <c r="D698" s="262">
        <v>31.95</v>
      </c>
      <c r="E698" s="96">
        <f>D698*20%</f>
        <v>6.39</v>
      </c>
      <c r="F698" s="154">
        <f>D698+E698</f>
        <v>38.340000000000003</v>
      </c>
      <c r="G698" s="412"/>
      <c r="H698" s="253"/>
      <c r="I698" s="34"/>
      <c r="J698" s="253"/>
      <c r="K698" s="308"/>
      <c r="L698" s="253"/>
      <c r="M698" s="253"/>
      <c r="N698" s="253"/>
      <c r="O698" s="253"/>
      <c r="P698" s="253"/>
      <c r="Q698" s="253"/>
      <c r="R698" s="253"/>
      <c r="S698" s="253"/>
      <c r="Y698" s="89"/>
      <c r="BI698" s="89"/>
      <c r="BJ698" s="305"/>
    </row>
    <row r="699" spans="1:62" s="2" customFormat="1" ht="31.5" hidden="1" customHeight="1" x14ac:dyDescent="0.2">
      <c r="A699" s="404" t="s">
        <v>2090</v>
      </c>
      <c r="B699" s="381" t="s">
        <v>961</v>
      </c>
      <c r="C699" s="379" t="s">
        <v>962</v>
      </c>
      <c r="D699" s="262">
        <v>19.27</v>
      </c>
      <c r="E699" s="96">
        <f>D699*20%</f>
        <v>3.85</v>
      </c>
      <c r="F699" s="154">
        <f>D699+E699</f>
        <v>23.12</v>
      </c>
      <c r="G699" s="412"/>
      <c r="H699" s="253"/>
      <c r="I699" s="34"/>
      <c r="J699" s="253"/>
      <c r="K699" s="308"/>
      <c r="L699" s="253"/>
      <c r="M699" s="253"/>
      <c r="N699" s="253"/>
      <c r="O699" s="253"/>
      <c r="P699" s="253"/>
      <c r="Q699" s="253"/>
      <c r="R699" s="253"/>
      <c r="S699" s="253"/>
      <c r="Y699" s="89"/>
      <c r="BI699" s="89"/>
      <c r="BJ699" s="305"/>
    </row>
    <row r="700" spans="1:62" s="2" customFormat="1" ht="46.5" hidden="1" customHeight="1" x14ac:dyDescent="0.2">
      <c r="A700" s="404" t="s">
        <v>2091</v>
      </c>
      <c r="B700" s="381" t="s">
        <v>963</v>
      </c>
      <c r="C700" s="379" t="s">
        <v>962</v>
      </c>
      <c r="D700" s="262">
        <v>52.57</v>
      </c>
      <c r="E700" s="96">
        <f>D700*20%</f>
        <v>10.51</v>
      </c>
      <c r="F700" s="154">
        <f>D700+E700</f>
        <v>63.08</v>
      </c>
      <c r="G700" s="412"/>
      <c r="H700" s="253"/>
      <c r="I700" s="34"/>
      <c r="J700" s="253"/>
      <c r="K700" s="308"/>
      <c r="L700" s="253"/>
      <c r="M700" s="253"/>
      <c r="N700" s="253"/>
      <c r="O700" s="253"/>
      <c r="P700" s="253"/>
      <c r="Q700" s="253"/>
      <c r="R700" s="253"/>
      <c r="S700" s="253"/>
      <c r="Y700" s="89"/>
      <c r="BI700" s="89"/>
      <c r="BJ700" s="305"/>
    </row>
    <row r="701" spans="1:62" s="2" customFormat="1" ht="20.25" hidden="1" customHeight="1" x14ac:dyDescent="0.2">
      <c r="A701" s="404" t="s">
        <v>2092</v>
      </c>
      <c r="B701" s="534" t="s">
        <v>964</v>
      </c>
      <c r="C701" s="535"/>
      <c r="D701" s="535"/>
      <c r="E701" s="535"/>
      <c r="F701" s="536"/>
      <c r="G701" s="412"/>
      <c r="H701" s="253"/>
      <c r="I701" s="34"/>
      <c r="J701" s="253"/>
      <c r="K701" s="308"/>
      <c r="L701" s="253"/>
      <c r="M701" s="253"/>
      <c r="N701" s="253"/>
      <c r="O701" s="253"/>
      <c r="P701" s="253"/>
      <c r="Q701" s="253"/>
      <c r="R701" s="253"/>
      <c r="S701" s="253"/>
      <c r="Y701" s="89"/>
      <c r="BI701" s="89"/>
      <c r="BJ701" s="305"/>
    </row>
    <row r="702" spans="1:62" s="2" customFormat="1" ht="46.5" hidden="1" customHeight="1" x14ac:dyDescent="0.2">
      <c r="A702" s="404" t="s">
        <v>2093</v>
      </c>
      <c r="B702" s="381" t="s">
        <v>966</v>
      </c>
      <c r="C702" s="379" t="s">
        <v>236</v>
      </c>
      <c r="D702" s="262">
        <v>243.69</v>
      </c>
      <c r="E702" s="96">
        <f>D702*20%</f>
        <v>48.74</v>
      </c>
      <c r="F702" s="154">
        <f>D702+E702</f>
        <v>292.43</v>
      </c>
      <c r="G702" s="412"/>
      <c r="H702" s="253"/>
      <c r="I702" s="34"/>
      <c r="J702" s="253"/>
      <c r="K702" s="308"/>
      <c r="L702" s="253"/>
      <c r="M702" s="253"/>
      <c r="N702" s="253"/>
      <c r="O702" s="253"/>
      <c r="P702" s="253"/>
      <c r="Q702" s="253"/>
      <c r="R702" s="253"/>
      <c r="S702" s="253"/>
      <c r="Y702" s="89"/>
      <c r="BI702" s="89"/>
      <c r="BJ702" s="305"/>
    </row>
    <row r="703" spans="1:62" s="2" customFormat="1" ht="46.5" hidden="1" customHeight="1" x14ac:dyDescent="0.2">
      <c r="A703" s="404" t="s">
        <v>2094</v>
      </c>
      <c r="B703" s="381" t="s">
        <v>967</v>
      </c>
      <c r="C703" s="379" t="s">
        <v>236</v>
      </c>
      <c r="D703" s="262">
        <v>856.23</v>
      </c>
      <c r="E703" s="96">
        <f>D703*20%</f>
        <v>171.25</v>
      </c>
      <c r="F703" s="154">
        <f>D703+E703</f>
        <v>1027.48</v>
      </c>
      <c r="G703" s="412"/>
      <c r="H703" s="253"/>
      <c r="I703" s="34"/>
      <c r="J703" s="253"/>
      <c r="K703" s="308"/>
      <c r="L703" s="253"/>
      <c r="M703" s="253"/>
      <c r="N703" s="253"/>
      <c r="O703" s="253"/>
      <c r="P703" s="253"/>
      <c r="Q703" s="253"/>
      <c r="R703" s="253"/>
      <c r="S703" s="253"/>
      <c r="Y703" s="89"/>
      <c r="BI703" s="89"/>
      <c r="BJ703" s="305"/>
    </row>
    <row r="704" spans="1:62" s="2" customFormat="1" ht="46.5" hidden="1" customHeight="1" thickBot="1" x14ac:dyDescent="0.25">
      <c r="A704" s="404" t="s">
        <v>2095</v>
      </c>
      <c r="B704" s="216" t="s">
        <v>968</v>
      </c>
      <c r="C704" s="148" t="s">
        <v>236</v>
      </c>
      <c r="D704" s="267">
        <v>988</v>
      </c>
      <c r="E704" s="96">
        <f>D704*20%</f>
        <v>197.6</v>
      </c>
      <c r="F704" s="154">
        <f>D704+E704</f>
        <v>1185.5999999999999</v>
      </c>
      <c r="G704" s="412"/>
      <c r="H704" s="253"/>
      <c r="I704" s="34"/>
      <c r="J704" s="253"/>
      <c r="K704" s="308"/>
      <c r="L704" s="253"/>
      <c r="M704" s="253"/>
      <c r="N704" s="253"/>
      <c r="O704" s="253"/>
      <c r="P704" s="253"/>
      <c r="Q704" s="253"/>
      <c r="R704" s="253"/>
      <c r="S704" s="253"/>
      <c r="Y704" s="89"/>
      <c r="BI704" s="89"/>
      <c r="BJ704" s="305"/>
    </row>
    <row r="705" spans="1:62" s="2" customFormat="1" ht="46.5" hidden="1" customHeight="1" x14ac:dyDescent="0.2">
      <c r="A705" s="404" t="s">
        <v>2096</v>
      </c>
      <c r="B705" s="113"/>
      <c r="C705" s="112"/>
      <c r="D705" s="112"/>
      <c r="E705" s="278"/>
      <c r="F705" s="279"/>
      <c r="G705" s="412"/>
      <c r="H705" s="253"/>
      <c r="I705" s="34"/>
      <c r="J705" s="253"/>
      <c r="K705" s="308"/>
      <c r="L705" s="253"/>
      <c r="M705" s="253"/>
      <c r="N705" s="253"/>
      <c r="O705" s="253"/>
      <c r="P705" s="253"/>
      <c r="Q705" s="253"/>
      <c r="R705" s="253"/>
      <c r="S705" s="253"/>
      <c r="Y705" s="89"/>
      <c r="BI705" s="89"/>
      <c r="BJ705" s="305"/>
    </row>
    <row r="706" spans="1:62" s="2" customFormat="1" ht="16.5" hidden="1" customHeight="1" x14ac:dyDescent="0.2">
      <c r="A706" s="404" t="s">
        <v>2097</v>
      </c>
      <c r="B706" s="392" t="s">
        <v>927</v>
      </c>
      <c r="C706" s="379" t="s">
        <v>236</v>
      </c>
      <c r="D706" s="261">
        <v>128.52000000000001</v>
      </c>
      <c r="E706" s="278"/>
      <c r="F706" s="279"/>
      <c r="G706" s="412"/>
      <c r="H706" s="253"/>
      <c r="I706" s="34"/>
      <c r="J706" s="253"/>
      <c r="K706" s="308"/>
      <c r="L706" s="253"/>
      <c r="M706" s="253"/>
      <c r="N706" s="253"/>
      <c r="O706" s="253"/>
      <c r="P706" s="253"/>
      <c r="Q706" s="253"/>
      <c r="R706" s="253"/>
      <c r="S706" s="253"/>
      <c r="Y706" s="89"/>
      <c r="BI706" s="89"/>
      <c r="BJ706" s="305"/>
    </row>
    <row r="707" spans="1:62" s="2" customFormat="1" ht="16.5" hidden="1" customHeight="1" x14ac:dyDescent="0.2">
      <c r="A707" s="404" t="s">
        <v>2098</v>
      </c>
      <c r="B707" s="381" t="s">
        <v>928</v>
      </c>
      <c r="C707" s="379" t="s">
        <v>236</v>
      </c>
      <c r="D707" s="261">
        <v>128.52000000000001</v>
      </c>
      <c r="E707" s="278"/>
      <c r="F707" s="279"/>
      <c r="G707" s="412"/>
      <c r="H707" s="253"/>
      <c r="I707" s="34"/>
      <c r="J707" s="253"/>
      <c r="K707" s="308"/>
      <c r="L707" s="253"/>
      <c r="M707" s="253"/>
      <c r="N707" s="253"/>
      <c r="O707" s="253"/>
      <c r="P707" s="253"/>
      <c r="Q707" s="253"/>
      <c r="R707" s="253"/>
      <c r="S707" s="253"/>
      <c r="Y707" s="89"/>
      <c r="BI707" s="89"/>
      <c r="BJ707" s="305"/>
    </row>
    <row r="708" spans="1:62" s="2" customFormat="1" ht="30" hidden="1" customHeight="1" x14ac:dyDescent="0.2">
      <c r="A708" s="404" t="s">
        <v>2099</v>
      </c>
      <c r="B708" s="381" t="s">
        <v>930</v>
      </c>
      <c r="C708" s="379" t="s">
        <v>236</v>
      </c>
      <c r="D708" s="261">
        <v>168.35</v>
      </c>
      <c r="E708" s="278"/>
      <c r="F708" s="279"/>
      <c r="G708" s="412"/>
      <c r="H708" s="253"/>
      <c r="I708" s="34"/>
      <c r="J708" s="253"/>
      <c r="K708" s="308"/>
      <c r="L708" s="253"/>
      <c r="M708" s="253"/>
      <c r="N708" s="253"/>
      <c r="O708" s="253"/>
      <c r="P708" s="253"/>
      <c r="Q708" s="253"/>
      <c r="R708" s="253"/>
      <c r="S708" s="253"/>
      <c r="Y708" s="89"/>
      <c r="BI708" s="89"/>
      <c r="BJ708" s="305"/>
    </row>
    <row r="709" spans="1:62" s="2" customFormat="1" ht="47.25" customHeight="1" x14ac:dyDescent="0.2">
      <c r="A709" s="404" t="s">
        <v>2334</v>
      </c>
      <c r="B709" s="381" t="s">
        <v>726</v>
      </c>
      <c r="C709" s="122" t="s">
        <v>1666</v>
      </c>
      <c r="D709" s="85">
        <v>155.71</v>
      </c>
      <c r="E709" s="278"/>
      <c r="F709" s="279"/>
      <c r="G709" s="412"/>
      <c r="H709" s="253"/>
      <c r="I709" s="34"/>
      <c r="J709" s="253"/>
      <c r="K709" s="308"/>
      <c r="L709" s="253"/>
      <c r="M709" s="253"/>
      <c r="N709" s="253"/>
      <c r="O709" s="253"/>
      <c r="P709" s="253"/>
      <c r="Q709" s="253"/>
      <c r="R709" s="253"/>
      <c r="S709" s="253"/>
      <c r="Y709" s="89"/>
      <c r="BI709" s="89"/>
      <c r="BJ709" s="305"/>
    </row>
    <row r="710" spans="1:62" s="2" customFormat="1" ht="33" customHeight="1" x14ac:dyDescent="0.2">
      <c r="A710" s="404" t="s">
        <v>2335</v>
      </c>
      <c r="B710" s="381" t="s">
        <v>1810</v>
      </c>
      <c r="C710" s="122" t="s">
        <v>1666</v>
      </c>
      <c r="D710" s="85">
        <v>128.97999999999999</v>
      </c>
      <c r="E710" s="278"/>
      <c r="F710" s="279"/>
      <c r="G710" s="412"/>
      <c r="H710" s="253"/>
      <c r="I710" s="34"/>
      <c r="J710" s="253"/>
      <c r="K710" s="308"/>
      <c r="L710" s="253"/>
      <c r="M710" s="253"/>
      <c r="N710" s="253"/>
      <c r="O710" s="253"/>
      <c r="P710" s="253"/>
      <c r="Q710" s="253"/>
      <c r="R710" s="253"/>
      <c r="S710" s="253"/>
      <c r="Y710" s="89"/>
      <c r="BI710" s="89"/>
      <c r="BJ710" s="305"/>
    </row>
    <row r="711" spans="1:62" s="2" customFormat="1" ht="22.5" customHeight="1" x14ac:dyDescent="0.2">
      <c r="A711" s="108" t="s">
        <v>479</v>
      </c>
      <c r="B711" s="429" t="s">
        <v>626</v>
      </c>
      <c r="C711" s="429"/>
      <c r="D711" s="429"/>
      <c r="E711" s="278"/>
      <c r="F711" s="279"/>
      <c r="G711" s="412"/>
      <c r="H711" s="253"/>
      <c r="I711" s="34"/>
      <c r="J711" s="253"/>
      <c r="K711" s="308"/>
      <c r="L711" s="253"/>
      <c r="M711" s="253"/>
      <c r="N711" s="253"/>
      <c r="O711" s="253"/>
      <c r="P711" s="253"/>
      <c r="Q711" s="253"/>
      <c r="R711" s="253"/>
      <c r="S711" s="253"/>
      <c r="Y711" s="89"/>
      <c r="BI711" s="89"/>
      <c r="BJ711" s="305"/>
    </row>
    <row r="712" spans="1:62" s="2" customFormat="1" ht="32.25" customHeight="1" x14ac:dyDescent="0.2">
      <c r="A712" s="404" t="s">
        <v>2336</v>
      </c>
      <c r="B712" s="111" t="s">
        <v>637</v>
      </c>
      <c r="C712" s="122" t="s">
        <v>1666</v>
      </c>
      <c r="D712" s="13">
        <v>227.78</v>
      </c>
      <c r="E712" s="278"/>
      <c r="F712" s="279"/>
      <c r="G712" s="412"/>
      <c r="H712" s="253"/>
      <c r="I712" s="34"/>
      <c r="J712" s="253"/>
      <c r="K712" s="308"/>
      <c r="L712" s="253"/>
      <c r="M712" s="253"/>
      <c r="N712" s="253"/>
      <c r="O712" s="253"/>
      <c r="P712" s="253"/>
      <c r="Q712" s="253"/>
      <c r="R712" s="253"/>
      <c r="S712" s="253"/>
      <c r="Y712" s="89"/>
      <c r="BI712" s="89"/>
      <c r="BJ712" s="305"/>
    </row>
    <row r="713" spans="1:62" s="2" customFormat="1" ht="29.25" customHeight="1" x14ac:dyDescent="0.2">
      <c r="A713" s="532" t="s">
        <v>2337</v>
      </c>
      <c r="B713" s="532"/>
      <c r="C713" s="532"/>
      <c r="D713" s="532"/>
      <c r="E713" s="195"/>
      <c r="F713" s="195"/>
      <c r="G713" s="412"/>
      <c r="H713" s="253"/>
      <c r="I713" s="34"/>
      <c r="J713" s="253"/>
      <c r="K713" s="308"/>
      <c r="L713" s="253"/>
      <c r="M713" s="253"/>
      <c r="N713" s="253"/>
      <c r="O713" s="253"/>
      <c r="P713" s="253"/>
      <c r="Q713" s="253"/>
      <c r="R713" s="253"/>
      <c r="S713" s="253"/>
      <c r="Y713" s="89"/>
      <c r="BI713" s="89"/>
      <c r="BJ713" s="305"/>
    </row>
    <row r="714" spans="1:62" s="2" customFormat="1" ht="19.5" customHeight="1" x14ac:dyDescent="0.2">
      <c r="A714" s="114" t="s">
        <v>1873</v>
      </c>
      <c r="B714" s="441" t="s">
        <v>970</v>
      </c>
      <c r="C714" s="441"/>
      <c r="D714" s="441"/>
      <c r="E714" s="217"/>
      <c r="F714" s="217"/>
      <c r="G714" s="412"/>
      <c r="H714" s="253"/>
      <c r="I714" s="34"/>
      <c r="J714" s="253"/>
      <c r="K714" s="308"/>
      <c r="L714" s="253"/>
      <c r="M714" s="253"/>
      <c r="N714" s="253"/>
      <c r="O714" s="253"/>
      <c r="P714" s="253"/>
      <c r="Q714" s="253"/>
      <c r="R714" s="253"/>
      <c r="S714" s="253"/>
      <c r="Y714" s="89"/>
      <c r="BI714" s="89"/>
      <c r="BJ714" s="305"/>
    </row>
    <row r="715" spans="1:62" s="2" customFormat="1" ht="18.75" customHeight="1" x14ac:dyDescent="0.2">
      <c r="A715" s="115" t="s">
        <v>2338</v>
      </c>
      <c r="B715" s="116" t="s">
        <v>971</v>
      </c>
      <c r="C715" s="122" t="s">
        <v>1666</v>
      </c>
      <c r="D715" s="389">
        <v>521.08000000000004</v>
      </c>
      <c r="E715" s="96"/>
      <c r="F715" s="47">
        <f>D715+E715</f>
        <v>521.08000000000004</v>
      </c>
      <c r="G715" s="412"/>
      <c r="H715" s="253"/>
      <c r="I715" s="34"/>
      <c r="J715" s="253"/>
      <c r="K715" s="308">
        <v>518.38</v>
      </c>
      <c r="L715" s="253" t="s">
        <v>1853</v>
      </c>
      <c r="M715" s="253"/>
      <c r="N715" s="253"/>
      <c r="O715" s="253"/>
      <c r="P715" s="253"/>
      <c r="Q715" s="253"/>
      <c r="R715" s="253"/>
      <c r="S715" s="253"/>
      <c r="Y715" s="89"/>
      <c r="BI715" s="89"/>
      <c r="BJ715" s="305"/>
    </row>
    <row r="716" spans="1:62" s="2" customFormat="1" ht="18" customHeight="1" x14ac:dyDescent="0.2">
      <c r="A716" s="114" t="s">
        <v>1874</v>
      </c>
      <c r="B716" s="441" t="s">
        <v>973</v>
      </c>
      <c r="C716" s="441"/>
      <c r="D716" s="441"/>
      <c r="E716" s="217"/>
      <c r="F716" s="217"/>
      <c r="G716" s="412"/>
      <c r="H716" s="253"/>
      <c r="I716" s="34"/>
      <c r="J716" s="253"/>
      <c r="K716" s="308"/>
      <c r="L716" s="253"/>
      <c r="M716" s="253"/>
      <c r="N716" s="253"/>
      <c r="O716" s="253"/>
      <c r="P716" s="253"/>
      <c r="Q716" s="253"/>
      <c r="R716" s="253"/>
      <c r="S716" s="253"/>
      <c r="Y716" s="89"/>
      <c r="BI716" s="89"/>
      <c r="BJ716" s="305"/>
    </row>
    <row r="717" spans="1:62" s="2" customFormat="1" ht="24" customHeight="1" x14ac:dyDescent="0.2">
      <c r="A717" s="115" t="s">
        <v>2339</v>
      </c>
      <c r="B717" s="116" t="s">
        <v>971</v>
      </c>
      <c r="C717" s="122" t="s">
        <v>1666</v>
      </c>
      <c r="D717" s="389">
        <v>483.81</v>
      </c>
      <c r="E717" s="96"/>
      <c r="F717" s="47">
        <f>D717+E717</f>
        <v>483.81</v>
      </c>
      <c r="G717" s="412"/>
      <c r="H717" s="253"/>
      <c r="I717" s="34"/>
      <c r="J717" s="253"/>
      <c r="K717" s="308"/>
      <c r="L717" s="253"/>
      <c r="M717" s="253"/>
      <c r="N717" s="253"/>
      <c r="O717" s="253"/>
      <c r="P717" s="253"/>
      <c r="Q717" s="253"/>
      <c r="R717" s="253"/>
      <c r="S717" s="253"/>
      <c r="Y717" s="89"/>
      <c r="BI717" s="89"/>
      <c r="BJ717" s="305"/>
    </row>
    <row r="718" spans="1:62" s="2" customFormat="1" ht="17.25" customHeight="1" x14ac:dyDescent="0.2">
      <c r="A718" s="115" t="s">
        <v>2340</v>
      </c>
      <c r="B718" s="116" t="s">
        <v>975</v>
      </c>
      <c r="C718" s="122" t="s">
        <v>1666</v>
      </c>
      <c r="D718" s="389">
        <v>1366.73</v>
      </c>
      <c r="E718" s="96"/>
      <c r="F718" s="47">
        <f>D718+E718</f>
        <v>1366.73</v>
      </c>
      <c r="G718" s="412"/>
      <c r="H718" s="253"/>
      <c r="I718" s="34"/>
      <c r="J718" s="253"/>
      <c r="K718" s="308"/>
      <c r="L718" s="253"/>
      <c r="M718" s="253"/>
      <c r="N718" s="253"/>
      <c r="O718" s="253"/>
      <c r="P718" s="253"/>
      <c r="Q718" s="253"/>
      <c r="R718" s="253"/>
      <c r="S718" s="253"/>
      <c r="Y718" s="89"/>
      <c r="BI718" s="89"/>
      <c r="BJ718" s="305"/>
    </row>
    <row r="719" spans="1:62" s="2" customFormat="1" ht="21.75" customHeight="1" x14ac:dyDescent="0.2">
      <c r="A719" s="114" t="s">
        <v>1875</v>
      </c>
      <c r="B719" s="441" t="s">
        <v>977</v>
      </c>
      <c r="C719" s="441"/>
      <c r="D719" s="441"/>
      <c r="E719" s="217"/>
      <c r="F719" s="217"/>
      <c r="G719" s="412"/>
      <c r="H719" s="253"/>
      <c r="I719" s="34"/>
      <c r="J719" s="253"/>
      <c r="K719" s="308"/>
      <c r="L719" s="253"/>
      <c r="M719" s="253"/>
      <c r="N719" s="253"/>
      <c r="O719" s="253"/>
      <c r="P719" s="253"/>
      <c r="Q719" s="253"/>
      <c r="R719" s="253"/>
      <c r="S719" s="253"/>
      <c r="Y719" s="89"/>
      <c r="BI719" s="89"/>
      <c r="BJ719" s="305"/>
    </row>
    <row r="720" spans="1:62" s="2" customFormat="1" ht="18.75" customHeight="1" x14ac:dyDescent="0.2">
      <c r="A720" s="115" t="s">
        <v>2341</v>
      </c>
      <c r="B720" s="116" t="s">
        <v>971</v>
      </c>
      <c r="C720" s="122" t="s">
        <v>1666</v>
      </c>
      <c r="D720" s="389">
        <v>576.87</v>
      </c>
      <c r="E720" s="96"/>
      <c r="F720" s="47">
        <f>D720+E720</f>
        <v>576.87</v>
      </c>
      <c r="G720" s="412"/>
      <c r="H720" s="253"/>
      <c r="I720" s="34"/>
      <c r="J720" s="253"/>
      <c r="K720" s="308"/>
      <c r="L720" s="253"/>
      <c r="M720" s="253"/>
      <c r="N720" s="253"/>
      <c r="O720" s="253"/>
      <c r="P720" s="253"/>
      <c r="Q720" s="253"/>
      <c r="R720" s="253"/>
      <c r="S720" s="253"/>
      <c r="Y720" s="89"/>
      <c r="BI720" s="89"/>
      <c r="BJ720" s="305"/>
    </row>
    <row r="721" spans="1:62" s="2" customFormat="1" ht="18" customHeight="1" x14ac:dyDescent="0.2">
      <c r="A721" s="115" t="s">
        <v>2342</v>
      </c>
      <c r="B721" s="116" t="s">
        <v>975</v>
      </c>
      <c r="C721" s="122" t="s">
        <v>1666</v>
      </c>
      <c r="D721" s="389">
        <v>1351.38</v>
      </c>
      <c r="E721" s="96"/>
      <c r="F721" s="47">
        <f>D721+E721</f>
        <v>1351.38</v>
      </c>
      <c r="G721" s="412"/>
      <c r="H721" s="253"/>
      <c r="I721" s="34"/>
      <c r="J721" s="253"/>
      <c r="K721" s="308"/>
      <c r="L721" s="253"/>
      <c r="M721" s="253"/>
      <c r="N721" s="253"/>
      <c r="O721" s="253"/>
      <c r="P721" s="253"/>
      <c r="Q721" s="253"/>
      <c r="R721" s="253"/>
      <c r="S721" s="253"/>
      <c r="Y721" s="89"/>
      <c r="BI721" s="89"/>
      <c r="BJ721" s="305"/>
    </row>
    <row r="722" spans="1:62" s="2" customFormat="1" ht="21.75" customHeight="1" x14ac:dyDescent="0.2">
      <c r="A722" s="114" t="s">
        <v>2343</v>
      </c>
      <c r="B722" s="432" t="s">
        <v>980</v>
      </c>
      <c r="C722" s="432"/>
      <c r="D722" s="432"/>
      <c r="E722" s="218"/>
      <c r="F722" s="218"/>
      <c r="G722" s="412"/>
      <c r="H722" s="253"/>
      <c r="I722" s="34"/>
      <c r="J722" s="253"/>
      <c r="K722" s="308"/>
      <c r="L722" s="253"/>
      <c r="M722" s="253"/>
      <c r="N722" s="253"/>
      <c r="O722" s="253"/>
      <c r="P722" s="253"/>
      <c r="Q722" s="253"/>
      <c r="R722" s="253"/>
      <c r="S722" s="253"/>
      <c r="Y722" s="89"/>
      <c r="BI722" s="89"/>
      <c r="BJ722" s="305"/>
    </row>
    <row r="723" spans="1:62" s="2" customFormat="1" ht="17.25" customHeight="1" x14ac:dyDescent="0.2">
      <c r="A723" s="115" t="s">
        <v>2344</v>
      </c>
      <c r="B723" s="116" t="s">
        <v>971</v>
      </c>
      <c r="C723" s="122" t="s">
        <v>1666</v>
      </c>
      <c r="D723" s="389">
        <v>658.66</v>
      </c>
      <c r="E723" s="96"/>
      <c r="F723" s="47">
        <f>D723+E723</f>
        <v>658.66</v>
      </c>
      <c r="G723" s="412"/>
      <c r="H723" s="253"/>
      <c r="I723" s="34"/>
      <c r="J723" s="253"/>
      <c r="K723" s="308"/>
      <c r="L723" s="253"/>
      <c r="M723" s="253"/>
      <c r="N723" s="253"/>
      <c r="O723" s="253"/>
      <c r="P723" s="253"/>
      <c r="Q723" s="253"/>
      <c r="R723" s="253"/>
      <c r="S723" s="253"/>
      <c r="Y723" s="89"/>
      <c r="BI723" s="89"/>
      <c r="BJ723" s="305"/>
    </row>
    <row r="724" spans="1:62" s="2" customFormat="1" ht="19.5" customHeight="1" x14ac:dyDescent="0.2">
      <c r="A724" s="115" t="s">
        <v>2345</v>
      </c>
      <c r="B724" s="116" t="s">
        <v>975</v>
      </c>
      <c r="C724" s="122" t="s">
        <v>1666</v>
      </c>
      <c r="D724" s="389">
        <v>1372.18</v>
      </c>
      <c r="E724" s="96"/>
      <c r="F724" s="47">
        <f>D724+E724</f>
        <v>1372.18</v>
      </c>
      <c r="G724" s="412"/>
      <c r="H724" s="253"/>
      <c r="I724" s="34"/>
      <c r="J724" s="253"/>
      <c r="K724" s="308"/>
      <c r="L724" s="253"/>
      <c r="M724" s="253"/>
      <c r="N724" s="253"/>
      <c r="O724" s="253"/>
      <c r="P724" s="253"/>
      <c r="Q724" s="253"/>
      <c r="R724" s="253"/>
      <c r="S724" s="253"/>
      <c r="Y724" s="89"/>
      <c r="BI724" s="89"/>
      <c r="BJ724" s="305"/>
    </row>
    <row r="725" spans="1:62" s="2" customFormat="1" ht="15" hidden="1" customHeight="1" x14ac:dyDescent="0.2">
      <c r="A725" s="114" t="s">
        <v>982</v>
      </c>
      <c r="B725" s="432" t="s">
        <v>983</v>
      </c>
      <c r="C725" s="432"/>
      <c r="D725" s="432"/>
      <c r="E725" s="530"/>
      <c r="F725" s="530"/>
      <c r="G725" s="412"/>
      <c r="H725" s="253"/>
      <c r="I725" s="34"/>
      <c r="J725" s="253"/>
      <c r="K725" s="308"/>
      <c r="L725" s="253"/>
      <c r="M725" s="253"/>
      <c r="N725" s="253"/>
      <c r="O725" s="253"/>
      <c r="P725" s="253"/>
      <c r="Q725" s="253"/>
      <c r="R725" s="253"/>
      <c r="S725" s="253"/>
      <c r="Y725" s="89"/>
      <c r="BI725" s="89"/>
      <c r="BJ725" s="305"/>
    </row>
    <row r="726" spans="1:62" s="2" customFormat="1" ht="18.75" hidden="1" customHeight="1" x14ac:dyDescent="0.2">
      <c r="A726" s="219" t="s">
        <v>984</v>
      </c>
      <c r="B726" s="220" t="s">
        <v>975</v>
      </c>
      <c r="C726" s="315" t="s">
        <v>236</v>
      </c>
      <c r="D726" s="268">
        <v>440.68</v>
      </c>
      <c r="E726" s="96">
        <f>D726*20%</f>
        <v>88.14</v>
      </c>
      <c r="F726" s="47">
        <f>D726+E726</f>
        <v>528.82000000000005</v>
      </c>
      <c r="G726" s="412"/>
      <c r="H726" s="253"/>
      <c r="I726" s="34"/>
      <c r="J726" s="253"/>
      <c r="K726" s="308"/>
      <c r="L726" s="253"/>
      <c r="M726" s="253"/>
      <c r="N726" s="253"/>
      <c r="O726" s="253"/>
      <c r="P726" s="253"/>
      <c r="Q726" s="253"/>
      <c r="R726" s="253"/>
      <c r="S726" s="253"/>
      <c r="Y726" s="89"/>
      <c r="BI726" s="89"/>
      <c r="BJ726" s="305"/>
    </row>
    <row r="727" spans="1:62" s="2" customFormat="1" ht="15.75" customHeight="1" x14ac:dyDescent="0.2">
      <c r="A727" s="114" t="s">
        <v>2346</v>
      </c>
      <c r="B727" s="432" t="s">
        <v>986</v>
      </c>
      <c r="C727" s="432"/>
      <c r="D727" s="432"/>
      <c r="E727" s="218"/>
      <c r="F727" s="218"/>
      <c r="G727" s="412"/>
      <c r="H727" s="253"/>
      <c r="I727" s="34"/>
      <c r="J727" s="253"/>
      <c r="K727" s="308"/>
      <c r="L727" s="253"/>
      <c r="M727" s="253"/>
      <c r="N727" s="253"/>
      <c r="O727" s="253"/>
      <c r="P727" s="253"/>
      <c r="Q727" s="253"/>
      <c r="R727" s="253"/>
      <c r="S727" s="253"/>
      <c r="Y727" s="89"/>
      <c r="BI727" s="89"/>
      <c r="BJ727" s="305"/>
    </row>
    <row r="728" spans="1:62" s="2" customFormat="1" ht="21" customHeight="1" x14ac:dyDescent="0.2">
      <c r="A728" s="115" t="s">
        <v>2347</v>
      </c>
      <c r="B728" s="116" t="s">
        <v>971</v>
      </c>
      <c r="C728" s="122" t="s">
        <v>1666</v>
      </c>
      <c r="D728" s="389">
        <v>476.88</v>
      </c>
      <c r="E728" s="96"/>
      <c r="F728" s="47">
        <f>D728+E728</f>
        <v>476.88</v>
      </c>
      <c r="G728" s="412"/>
      <c r="H728" s="253"/>
      <c r="I728" s="34"/>
      <c r="J728" s="253"/>
      <c r="K728" s="308"/>
      <c r="L728" s="253"/>
      <c r="M728" s="253"/>
      <c r="N728" s="253"/>
      <c r="O728" s="253"/>
      <c r="P728" s="253"/>
      <c r="Q728" s="253"/>
      <c r="R728" s="253"/>
      <c r="S728" s="253"/>
      <c r="Y728" s="89"/>
      <c r="BI728" s="89"/>
      <c r="BJ728" s="305"/>
    </row>
    <row r="729" spans="1:62" s="2" customFormat="1" ht="15.75" customHeight="1" x14ac:dyDescent="0.2">
      <c r="A729" s="115" t="s">
        <v>2348</v>
      </c>
      <c r="B729" s="116" t="s">
        <v>975</v>
      </c>
      <c r="C729" s="122" t="s">
        <v>1666</v>
      </c>
      <c r="D729" s="389">
        <v>1693.81</v>
      </c>
      <c r="E729" s="96"/>
      <c r="F729" s="47">
        <f>D729+E729</f>
        <v>1693.81</v>
      </c>
      <c r="G729" s="412"/>
      <c r="H729" s="253"/>
      <c r="I729" s="34"/>
      <c r="J729" s="253"/>
      <c r="K729" s="308"/>
      <c r="L729" s="253"/>
      <c r="M729" s="253"/>
      <c r="N729" s="253"/>
      <c r="O729" s="253"/>
      <c r="P729" s="253"/>
      <c r="Q729" s="253"/>
      <c r="R729" s="253"/>
      <c r="S729" s="253"/>
      <c r="Y729" s="89"/>
      <c r="BI729" s="89"/>
      <c r="BJ729" s="305"/>
    </row>
    <row r="730" spans="1:62" s="2" customFormat="1" ht="16.5" hidden="1" customHeight="1" x14ac:dyDescent="0.2">
      <c r="A730" s="114" t="s">
        <v>988</v>
      </c>
      <c r="B730" s="432" t="s">
        <v>989</v>
      </c>
      <c r="C730" s="432"/>
      <c r="D730" s="432"/>
      <c r="E730" s="530"/>
      <c r="F730" s="530"/>
      <c r="G730" s="412"/>
      <c r="H730" s="253"/>
      <c r="I730" s="34"/>
      <c r="J730" s="253"/>
      <c r="K730" s="308"/>
      <c r="L730" s="253"/>
      <c r="M730" s="253"/>
      <c r="N730" s="253"/>
      <c r="O730" s="253"/>
      <c r="P730" s="253"/>
      <c r="Q730" s="253"/>
      <c r="R730" s="253"/>
      <c r="S730" s="253"/>
      <c r="Y730" s="89"/>
      <c r="BI730" s="89"/>
      <c r="BJ730" s="305"/>
    </row>
    <row r="731" spans="1:62" s="2" customFormat="1" ht="18.75" hidden="1" customHeight="1" x14ac:dyDescent="0.2">
      <c r="A731" s="115" t="s">
        <v>990</v>
      </c>
      <c r="B731" s="116" t="s">
        <v>975</v>
      </c>
      <c r="C731" s="379" t="s">
        <v>236</v>
      </c>
      <c r="D731" s="263">
        <v>428.87</v>
      </c>
      <c r="E731" s="96">
        <f>D731*20%</f>
        <v>85.77</v>
      </c>
      <c r="F731" s="47">
        <f>D731+E731</f>
        <v>514.64</v>
      </c>
      <c r="G731" s="412"/>
      <c r="H731" s="253"/>
      <c r="I731" s="34"/>
      <c r="J731" s="253"/>
      <c r="K731" s="308"/>
      <c r="L731" s="253"/>
      <c r="M731" s="253"/>
      <c r="N731" s="253"/>
      <c r="O731" s="253"/>
      <c r="P731" s="253"/>
      <c r="Q731" s="253"/>
      <c r="R731" s="253"/>
      <c r="S731" s="253"/>
      <c r="Y731" s="89"/>
      <c r="BI731" s="89"/>
      <c r="BJ731" s="305"/>
    </row>
    <row r="732" spans="1:62" s="2" customFormat="1" ht="18" hidden="1" customHeight="1" x14ac:dyDescent="0.2">
      <c r="A732" s="114" t="s">
        <v>991</v>
      </c>
      <c r="B732" s="432" t="s">
        <v>992</v>
      </c>
      <c r="C732" s="432"/>
      <c r="D732" s="432"/>
      <c r="E732" s="432"/>
      <c r="F732" s="432"/>
      <c r="G732" s="412"/>
      <c r="H732" s="253"/>
      <c r="I732" s="34"/>
      <c r="J732" s="253"/>
      <c r="K732" s="308"/>
      <c r="L732" s="253"/>
      <c r="M732" s="253"/>
      <c r="N732" s="253"/>
      <c r="O732" s="253"/>
      <c r="P732" s="253"/>
      <c r="Q732" s="253"/>
      <c r="R732" s="253"/>
      <c r="S732" s="253"/>
      <c r="Y732" s="89"/>
      <c r="BI732" s="89"/>
      <c r="BJ732" s="305"/>
    </row>
    <row r="733" spans="1:62" s="2" customFormat="1" ht="36" hidden="1" customHeight="1" x14ac:dyDescent="0.2">
      <c r="A733" s="115" t="s">
        <v>993</v>
      </c>
      <c r="B733" s="392" t="s">
        <v>994</v>
      </c>
      <c r="C733" s="379" t="s">
        <v>236</v>
      </c>
      <c r="D733" s="263">
        <v>176.27</v>
      </c>
      <c r="E733" s="96">
        <f>D733*20%</f>
        <v>35.25</v>
      </c>
      <c r="F733" s="47">
        <f>D733+E733</f>
        <v>211.52</v>
      </c>
      <c r="G733" s="412"/>
      <c r="H733" s="253"/>
      <c r="I733" s="34"/>
      <c r="J733" s="253"/>
      <c r="K733" s="308"/>
      <c r="L733" s="253"/>
      <c r="M733" s="253"/>
      <c r="N733" s="253"/>
      <c r="O733" s="253"/>
      <c r="P733" s="253"/>
      <c r="Q733" s="253"/>
      <c r="R733" s="253"/>
      <c r="S733" s="253"/>
      <c r="Y733" s="89"/>
      <c r="BI733" s="89"/>
      <c r="BJ733" s="305"/>
    </row>
    <row r="734" spans="1:62" s="2" customFormat="1" ht="21" hidden="1" customHeight="1" x14ac:dyDescent="0.2">
      <c r="A734" s="219" t="s">
        <v>995</v>
      </c>
      <c r="B734" s="220" t="s">
        <v>996</v>
      </c>
      <c r="C734" s="315" t="s">
        <v>236</v>
      </c>
      <c r="D734" s="268">
        <v>2038.38</v>
      </c>
      <c r="E734" s="96">
        <f>D734*20%</f>
        <v>407.68</v>
      </c>
      <c r="F734" s="47">
        <f>D734+E734</f>
        <v>2446.06</v>
      </c>
      <c r="G734" s="412"/>
      <c r="H734" s="253"/>
      <c r="I734" s="34"/>
      <c r="J734" s="253"/>
      <c r="K734" s="308"/>
      <c r="L734" s="253"/>
      <c r="M734" s="253"/>
      <c r="N734" s="253"/>
      <c r="O734" s="253"/>
      <c r="P734" s="253"/>
      <c r="Q734" s="253"/>
      <c r="R734" s="253"/>
      <c r="S734" s="253"/>
      <c r="Y734" s="89"/>
      <c r="BI734" s="89"/>
      <c r="BJ734" s="305"/>
    </row>
    <row r="735" spans="1:62" s="2" customFormat="1" ht="20.25" customHeight="1" x14ac:dyDescent="0.2">
      <c r="A735" s="114" t="s">
        <v>2349</v>
      </c>
      <c r="B735" s="432" t="s">
        <v>997</v>
      </c>
      <c r="C735" s="432"/>
      <c r="D735" s="432"/>
      <c r="E735" s="218"/>
      <c r="F735" s="218"/>
      <c r="G735" s="412"/>
      <c r="H735" s="253"/>
      <c r="I735" s="34"/>
      <c r="J735" s="253"/>
      <c r="K735" s="308"/>
      <c r="L735" s="253"/>
      <c r="M735" s="253"/>
      <c r="N735" s="253"/>
      <c r="O735" s="253"/>
      <c r="P735" s="253"/>
      <c r="Q735" s="253"/>
      <c r="R735" s="253"/>
      <c r="S735" s="253"/>
      <c r="Y735" s="89"/>
      <c r="BI735" s="89"/>
      <c r="BJ735" s="305"/>
    </row>
    <row r="736" spans="1:62" s="2" customFormat="1" ht="15" customHeight="1" x14ac:dyDescent="0.2">
      <c r="A736" s="115" t="s">
        <v>2350</v>
      </c>
      <c r="B736" s="116" t="s">
        <v>975</v>
      </c>
      <c r="C736" s="122" t="s">
        <v>1666</v>
      </c>
      <c r="D736" s="389">
        <v>1333.2</v>
      </c>
      <c r="E736" s="96"/>
      <c r="F736" s="47">
        <f>D736+E736</f>
        <v>1333.2</v>
      </c>
      <c r="G736" s="412"/>
      <c r="H736" s="253"/>
      <c r="I736" s="34"/>
      <c r="J736" s="253"/>
      <c r="K736" s="308"/>
      <c r="L736" s="253"/>
      <c r="M736" s="253"/>
      <c r="N736" s="253"/>
      <c r="O736" s="253"/>
      <c r="P736" s="253"/>
      <c r="Q736" s="253"/>
      <c r="R736" s="253"/>
      <c r="S736" s="253"/>
      <c r="Y736" s="89"/>
      <c r="BI736" s="89"/>
      <c r="BJ736" s="305"/>
    </row>
    <row r="737" spans="1:62" s="2" customFormat="1" ht="22.5" customHeight="1" x14ac:dyDescent="0.2">
      <c r="A737" s="115" t="s">
        <v>2351</v>
      </c>
      <c r="B737" s="116" t="s">
        <v>971</v>
      </c>
      <c r="C737" s="122" t="s">
        <v>1666</v>
      </c>
      <c r="D737" s="389">
        <v>738.93</v>
      </c>
      <c r="E737" s="96"/>
      <c r="F737" s="47">
        <f>D737+E737</f>
        <v>738.93</v>
      </c>
      <c r="G737" s="412"/>
      <c r="H737" s="253"/>
      <c r="I737" s="34"/>
      <c r="J737" s="253" t="s">
        <v>1794</v>
      </c>
      <c r="K737" s="308"/>
      <c r="L737" s="253"/>
      <c r="M737" s="253"/>
      <c r="N737" s="253"/>
      <c r="O737" s="253"/>
      <c r="P737" s="253"/>
      <c r="Q737" s="253"/>
      <c r="R737" s="253"/>
      <c r="S737" s="253"/>
      <c r="Y737" s="89"/>
      <c r="BI737" s="89"/>
      <c r="BJ737" s="305"/>
    </row>
    <row r="738" spans="1:62" s="2" customFormat="1" ht="16.5" hidden="1" customHeight="1" x14ac:dyDescent="0.2">
      <c r="A738" s="114" t="s">
        <v>998</v>
      </c>
      <c r="B738" s="441" t="s">
        <v>999</v>
      </c>
      <c r="C738" s="441"/>
      <c r="D738" s="441"/>
      <c r="E738" s="531"/>
      <c r="F738" s="531"/>
      <c r="G738" s="412"/>
      <c r="H738" s="253"/>
      <c r="I738" s="34"/>
      <c r="J738" s="253"/>
      <c r="K738" s="308"/>
      <c r="L738" s="253"/>
      <c r="M738" s="253"/>
      <c r="N738" s="253"/>
      <c r="O738" s="253"/>
      <c r="P738" s="253"/>
      <c r="Q738" s="253"/>
      <c r="R738" s="253"/>
      <c r="S738" s="253"/>
      <c r="Y738" s="89"/>
      <c r="BI738" s="89"/>
      <c r="BJ738" s="305"/>
    </row>
    <row r="739" spans="1:62" s="2" customFormat="1" ht="21.75" hidden="1" customHeight="1" x14ac:dyDescent="0.2">
      <c r="A739" s="115" t="s">
        <v>1000</v>
      </c>
      <c r="B739" s="116" t="s">
        <v>975</v>
      </c>
      <c r="C739" s="379" t="s">
        <v>236</v>
      </c>
      <c r="D739" s="263">
        <v>1545.11</v>
      </c>
      <c r="E739" s="96">
        <f>D739*20%</f>
        <v>309.02</v>
      </c>
      <c r="F739" s="47">
        <f>D739+E739</f>
        <v>1854.13</v>
      </c>
      <c r="G739" s="412"/>
      <c r="H739" s="253"/>
      <c r="I739" s="34"/>
      <c r="J739" s="253"/>
      <c r="K739" s="308"/>
      <c r="L739" s="253"/>
      <c r="M739" s="253"/>
      <c r="N739" s="253"/>
      <c r="O739" s="253"/>
      <c r="P739" s="253"/>
      <c r="Q739" s="253"/>
      <c r="R739" s="253"/>
      <c r="S739" s="253"/>
      <c r="Y739" s="89"/>
      <c r="BI739" s="89"/>
      <c r="BJ739" s="305"/>
    </row>
    <row r="740" spans="1:62" s="2" customFormat="1" ht="17.25" hidden="1" customHeight="1" x14ac:dyDescent="0.2">
      <c r="A740" s="114" t="s">
        <v>1001</v>
      </c>
      <c r="B740" s="441" t="s">
        <v>1002</v>
      </c>
      <c r="C740" s="441"/>
      <c r="D740" s="441"/>
      <c r="E740" s="441"/>
      <c r="F740" s="441"/>
      <c r="G740" s="412"/>
      <c r="H740" s="253"/>
      <c r="I740" s="34"/>
      <c r="J740" s="253"/>
      <c r="K740" s="308"/>
      <c r="L740" s="253"/>
      <c r="M740" s="253"/>
      <c r="N740" s="253"/>
      <c r="O740" s="253"/>
      <c r="P740" s="253"/>
      <c r="Q740" s="253"/>
      <c r="R740" s="253"/>
      <c r="S740" s="253"/>
      <c r="Y740" s="89"/>
      <c r="BI740" s="89"/>
      <c r="BJ740" s="305"/>
    </row>
    <row r="741" spans="1:62" s="2" customFormat="1" ht="18.75" hidden="1" customHeight="1" x14ac:dyDescent="0.2">
      <c r="A741" s="219" t="s">
        <v>1003</v>
      </c>
      <c r="B741" s="221" t="s">
        <v>975</v>
      </c>
      <c r="C741" s="315" t="s">
        <v>236</v>
      </c>
      <c r="D741" s="268">
        <v>399.83</v>
      </c>
      <c r="E741" s="96">
        <f>D741*20%</f>
        <v>79.97</v>
      </c>
      <c r="F741" s="47">
        <f>D741+E741</f>
        <v>479.8</v>
      </c>
      <c r="G741" s="412"/>
      <c r="H741" s="253"/>
      <c r="I741" s="34"/>
      <c r="J741" s="253"/>
      <c r="K741" s="308"/>
      <c r="L741" s="253"/>
      <c r="M741" s="253"/>
      <c r="N741" s="253"/>
      <c r="O741" s="253"/>
      <c r="P741" s="253"/>
      <c r="Q741" s="253"/>
      <c r="R741" s="253"/>
      <c r="S741" s="253"/>
      <c r="Y741" s="89"/>
      <c r="BI741" s="89"/>
      <c r="BJ741" s="305"/>
    </row>
    <row r="742" spans="1:62" s="2" customFormat="1" ht="17.25" customHeight="1" x14ac:dyDescent="0.2">
      <c r="A742" s="114" t="s">
        <v>2352</v>
      </c>
      <c r="B742" s="441" t="s">
        <v>1004</v>
      </c>
      <c r="C742" s="441"/>
      <c r="D742" s="441"/>
      <c r="E742" s="217"/>
      <c r="F742" s="217"/>
      <c r="G742" s="412"/>
      <c r="H742" s="253"/>
      <c r="I742" s="34"/>
      <c r="J742" s="253"/>
      <c r="K742" s="308"/>
      <c r="L742" s="253"/>
      <c r="M742" s="253"/>
      <c r="N742" s="253"/>
      <c r="O742" s="253"/>
      <c r="P742" s="253"/>
      <c r="Q742" s="253"/>
      <c r="R742" s="253"/>
      <c r="S742" s="253"/>
      <c r="Y742" s="89"/>
      <c r="BI742" s="89"/>
      <c r="BJ742" s="305"/>
    </row>
    <row r="743" spans="1:62" s="2" customFormat="1" ht="25.5" customHeight="1" x14ac:dyDescent="0.2">
      <c r="A743" s="115" t="s">
        <v>2353</v>
      </c>
      <c r="B743" s="392" t="s">
        <v>1005</v>
      </c>
      <c r="C743" s="122" t="s">
        <v>1666</v>
      </c>
      <c r="D743" s="389">
        <v>507.36</v>
      </c>
      <c r="E743" s="96"/>
      <c r="F743" s="47">
        <f>D743+E743</f>
        <v>507.36</v>
      </c>
      <c r="G743" s="412"/>
      <c r="H743" s="253"/>
      <c r="I743" s="34"/>
      <c r="J743" s="253" t="s">
        <v>1006</v>
      </c>
      <c r="K743" s="308"/>
      <c r="L743" s="253"/>
      <c r="M743" s="253"/>
      <c r="N743" s="253"/>
      <c r="O743" s="253"/>
      <c r="P743" s="253"/>
      <c r="Q743" s="253"/>
      <c r="R743" s="253"/>
      <c r="S743" s="253"/>
      <c r="Y743" s="89"/>
      <c r="BI743" s="89"/>
      <c r="BJ743" s="305"/>
    </row>
    <row r="744" spans="1:62" s="2" customFormat="1" ht="16.5" customHeight="1" x14ac:dyDescent="0.2">
      <c r="A744" s="114" t="s">
        <v>2354</v>
      </c>
      <c r="B744" s="441" t="s">
        <v>1007</v>
      </c>
      <c r="C744" s="441"/>
      <c r="D744" s="441"/>
      <c r="E744" s="217"/>
      <c r="F744" s="217"/>
      <c r="G744" s="412"/>
      <c r="H744" s="253"/>
      <c r="I744" s="34"/>
      <c r="J744" s="253"/>
      <c r="K744" s="308"/>
      <c r="L744" s="253"/>
      <c r="M744" s="253"/>
      <c r="N744" s="253"/>
      <c r="O744" s="253"/>
      <c r="P744" s="253"/>
      <c r="Q744" s="253"/>
      <c r="R744" s="253"/>
      <c r="S744" s="253"/>
      <c r="Y744" s="89"/>
      <c r="BI744" s="89"/>
      <c r="BJ744" s="305"/>
    </row>
    <row r="745" spans="1:62" s="2" customFormat="1" ht="18.75" customHeight="1" x14ac:dyDescent="0.2">
      <c r="A745" s="115" t="s">
        <v>2355</v>
      </c>
      <c r="B745" s="392" t="s">
        <v>1005</v>
      </c>
      <c r="C745" s="122" t="s">
        <v>1666</v>
      </c>
      <c r="D745" s="389">
        <v>390.33</v>
      </c>
      <c r="E745" s="96"/>
      <c r="F745" s="47">
        <f>D745+E745</f>
        <v>390.33</v>
      </c>
      <c r="G745" s="412"/>
      <c r="H745" s="253"/>
      <c r="I745" s="34"/>
      <c r="J745" s="253"/>
      <c r="K745" s="308"/>
      <c r="L745" s="253"/>
      <c r="M745" s="253"/>
      <c r="N745" s="253"/>
      <c r="O745" s="253"/>
      <c r="P745" s="253"/>
      <c r="Q745" s="253"/>
      <c r="R745" s="253"/>
      <c r="S745" s="253"/>
      <c r="Y745" s="89"/>
      <c r="BI745" s="89"/>
      <c r="BJ745" s="305"/>
    </row>
    <row r="746" spans="1:62" s="2" customFormat="1" ht="18" customHeight="1" x14ac:dyDescent="0.2">
      <c r="A746" s="114" t="s">
        <v>2356</v>
      </c>
      <c r="B746" s="441" t="s">
        <v>1008</v>
      </c>
      <c r="C746" s="441"/>
      <c r="D746" s="441"/>
      <c r="E746" s="217"/>
      <c r="F746" s="217"/>
      <c r="G746" s="412"/>
      <c r="H746" s="253"/>
      <c r="I746" s="34"/>
      <c r="J746" s="253"/>
      <c r="K746" s="308"/>
      <c r="L746" s="253"/>
      <c r="M746" s="253"/>
      <c r="N746" s="253"/>
      <c r="O746" s="253"/>
      <c r="P746" s="253"/>
      <c r="Q746" s="253"/>
      <c r="R746" s="253"/>
      <c r="S746" s="253"/>
      <c r="Y746" s="89"/>
      <c r="BI746" s="89"/>
      <c r="BJ746" s="305"/>
    </row>
    <row r="747" spans="1:62" s="2" customFormat="1" ht="22.5" customHeight="1" x14ac:dyDescent="0.2">
      <c r="A747" s="115" t="s">
        <v>2357</v>
      </c>
      <c r="B747" s="392" t="s">
        <v>1005</v>
      </c>
      <c r="C747" s="122" t="s">
        <v>1666</v>
      </c>
      <c r="D747" s="389">
        <v>390.33</v>
      </c>
      <c r="E747" s="96"/>
      <c r="F747" s="47">
        <f t="shared" ref="F747:F752" si="43">D747+E747</f>
        <v>390.33</v>
      </c>
      <c r="G747" s="412"/>
      <c r="H747" s="253"/>
      <c r="I747" s="34"/>
      <c r="J747" s="253"/>
      <c r="K747" s="308"/>
      <c r="L747" s="253"/>
      <c r="M747" s="253"/>
      <c r="N747" s="253"/>
      <c r="O747" s="253"/>
      <c r="P747" s="253"/>
      <c r="Q747" s="253"/>
      <c r="R747" s="253"/>
      <c r="S747" s="253"/>
      <c r="Y747" s="89"/>
      <c r="BI747" s="89"/>
      <c r="BJ747" s="305"/>
    </row>
    <row r="748" spans="1:62" s="2" customFormat="1" ht="18.75" customHeight="1" x14ac:dyDescent="0.2">
      <c r="A748" s="114" t="s">
        <v>2358</v>
      </c>
      <c r="B748" s="392" t="s">
        <v>1009</v>
      </c>
      <c r="C748" s="122" t="s">
        <v>1666</v>
      </c>
      <c r="D748" s="389">
        <v>1343.82</v>
      </c>
      <c r="E748" s="96"/>
      <c r="F748" s="47">
        <f t="shared" si="43"/>
        <v>1343.82</v>
      </c>
      <c r="G748" s="412"/>
      <c r="H748" s="253"/>
      <c r="I748" s="34"/>
      <c r="J748" s="253"/>
      <c r="K748" s="308"/>
      <c r="L748" s="253"/>
      <c r="M748" s="253"/>
      <c r="N748" s="253"/>
      <c r="O748" s="253"/>
      <c r="P748" s="253"/>
      <c r="Q748" s="253"/>
      <c r="R748" s="253"/>
      <c r="S748" s="253"/>
      <c r="Y748" s="89"/>
      <c r="BI748" s="89"/>
      <c r="BJ748" s="305"/>
    </row>
    <row r="749" spans="1:62" s="2" customFormat="1" ht="18.75" hidden="1" customHeight="1" x14ac:dyDescent="0.2">
      <c r="A749" s="114" t="s">
        <v>1010</v>
      </c>
      <c r="B749" s="392" t="s">
        <v>1011</v>
      </c>
      <c r="C749" s="122" t="s">
        <v>1666</v>
      </c>
      <c r="D749" s="389">
        <v>1089.1500000000001</v>
      </c>
      <c r="E749" s="96"/>
      <c r="F749" s="47">
        <f t="shared" si="43"/>
        <v>1089.1500000000001</v>
      </c>
      <c r="G749" s="412"/>
      <c r="H749" s="253"/>
      <c r="I749" s="34"/>
      <c r="J749" s="253"/>
      <c r="K749" s="308"/>
      <c r="L749" s="253"/>
      <c r="M749" s="253"/>
      <c r="N749" s="253"/>
      <c r="O749" s="253"/>
      <c r="P749" s="253"/>
      <c r="Q749" s="253"/>
      <c r="R749" s="253"/>
      <c r="S749" s="253"/>
      <c r="Y749" s="89"/>
      <c r="BI749" s="89"/>
      <c r="BJ749" s="305"/>
    </row>
    <row r="750" spans="1:62" s="2" customFormat="1" ht="18" hidden="1" customHeight="1" x14ac:dyDescent="0.2">
      <c r="A750" s="114" t="s">
        <v>1012</v>
      </c>
      <c r="B750" s="392" t="s">
        <v>1013</v>
      </c>
      <c r="C750" s="122" t="s">
        <v>1666</v>
      </c>
      <c r="D750" s="389">
        <v>1089.1500000000001</v>
      </c>
      <c r="E750" s="96"/>
      <c r="F750" s="47">
        <f t="shared" si="43"/>
        <v>1089.1500000000001</v>
      </c>
      <c r="G750" s="412"/>
      <c r="H750" s="253"/>
      <c r="I750" s="34"/>
      <c r="J750" s="253"/>
      <c r="K750" s="308"/>
      <c r="L750" s="253"/>
      <c r="M750" s="253"/>
      <c r="N750" s="253"/>
      <c r="O750" s="253"/>
      <c r="P750" s="253"/>
      <c r="Q750" s="253"/>
      <c r="R750" s="253"/>
      <c r="S750" s="253"/>
      <c r="Y750" s="89"/>
      <c r="BI750" s="89"/>
      <c r="BJ750" s="305"/>
    </row>
    <row r="751" spans="1:62" s="2" customFormat="1" ht="15.75" hidden="1" customHeight="1" x14ac:dyDescent="0.2">
      <c r="A751" s="114" t="s">
        <v>1014</v>
      </c>
      <c r="B751" s="392" t="s">
        <v>1015</v>
      </c>
      <c r="C751" s="122" t="s">
        <v>1666</v>
      </c>
      <c r="D751" s="389">
        <v>633</v>
      </c>
      <c r="E751" s="96"/>
      <c r="F751" s="47">
        <f t="shared" si="43"/>
        <v>633</v>
      </c>
      <c r="G751" s="412"/>
      <c r="H751" s="253"/>
      <c r="I751" s="34"/>
      <c r="J751" s="253"/>
      <c r="K751" s="308"/>
      <c r="L751" s="253"/>
      <c r="M751" s="253"/>
      <c r="N751" s="253"/>
      <c r="O751" s="253"/>
      <c r="P751" s="253"/>
      <c r="Q751" s="253"/>
      <c r="R751" s="253"/>
      <c r="S751" s="253"/>
      <c r="Y751" s="89"/>
      <c r="BI751" s="89"/>
      <c r="BJ751" s="305"/>
    </row>
    <row r="752" spans="1:62" s="2" customFormat="1" ht="15" hidden="1" customHeight="1" x14ac:dyDescent="0.2">
      <c r="A752" s="114" t="s">
        <v>1016</v>
      </c>
      <c r="B752" s="392" t="s">
        <v>1017</v>
      </c>
      <c r="C752" s="122" t="s">
        <v>1666</v>
      </c>
      <c r="D752" s="389">
        <v>422.86</v>
      </c>
      <c r="E752" s="96"/>
      <c r="F752" s="47">
        <f t="shared" si="43"/>
        <v>422.86</v>
      </c>
      <c r="G752" s="412"/>
      <c r="H752" s="253"/>
      <c r="I752" s="34"/>
      <c r="J752" s="253"/>
      <c r="K752" s="308"/>
      <c r="L752" s="253"/>
      <c r="M752" s="253"/>
      <c r="N752" s="253"/>
      <c r="O752" s="253"/>
      <c r="P752" s="253"/>
      <c r="Q752" s="253"/>
      <c r="R752" s="253"/>
      <c r="S752" s="253"/>
      <c r="Y752" s="89"/>
      <c r="BI752" s="89"/>
      <c r="BJ752" s="305"/>
    </row>
    <row r="753" spans="1:256" s="2" customFormat="1" ht="20.25" customHeight="1" x14ac:dyDescent="0.2">
      <c r="A753" s="114" t="s">
        <v>2359</v>
      </c>
      <c r="B753" s="392" t="s">
        <v>1018</v>
      </c>
      <c r="C753" s="122" t="s">
        <v>1666</v>
      </c>
      <c r="D753" s="389">
        <v>1854.04</v>
      </c>
      <c r="E753" s="96"/>
      <c r="F753" s="47">
        <f>D753+E753</f>
        <v>1854.04</v>
      </c>
      <c r="G753" s="412"/>
      <c r="H753" s="253"/>
      <c r="I753" s="34"/>
      <c r="J753" s="253"/>
      <c r="K753" s="308"/>
      <c r="L753" s="253"/>
      <c r="M753" s="253"/>
      <c r="N753" s="253"/>
      <c r="O753" s="253"/>
      <c r="P753" s="253"/>
      <c r="Q753" s="253"/>
      <c r="R753" s="253"/>
      <c r="S753" s="253"/>
      <c r="Y753" s="89"/>
      <c r="BI753" s="89"/>
      <c r="BJ753" s="305"/>
    </row>
    <row r="754" spans="1:256" s="2" customFormat="1" ht="21.75" customHeight="1" x14ac:dyDescent="0.2">
      <c r="A754" s="115" t="s">
        <v>2360</v>
      </c>
      <c r="B754" s="392" t="s">
        <v>1019</v>
      </c>
      <c r="C754" s="122" t="s">
        <v>1666</v>
      </c>
      <c r="D754" s="389">
        <v>774.57</v>
      </c>
      <c r="E754" s="96"/>
      <c r="F754" s="47">
        <f>D754+E754</f>
        <v>774.57</v>
      </c>
      <c r="G754" s="412"/>
      <c r="H754" s="253"/>
      <c r="I754" s="34"/>
      <c r="J754" s="253"/>
      <c r="K754" s="308"/>
      <c r="L754" s="253"/>
      <c r="M754" s="253"/>
      <c r="N754" s="253"/>
      <c r="O754" s="253"/>
      <c r="P754" s="253"/>
      <c r="Q754" s="253"/>
      <c r="R754" s="253"/>
      <c r="S754" s="253"/>
      <c r="Y754" s="89"/>
      <c r="BI754" s="89"/>
      <c r="BJ754" s="305"/>
    </row>
    <row r="755" spans="1:256" s="2" customFormat="1" ht="21.75" customHeight="1" x14ac:dyDescent="0.2">
      <c r="A755" s="114" t="s">
        <v>2361</v>
      </c>
      <c r="B755" s="392" t="s">
        <v>1013</v>
      </c>
      <c r="C755" s="122" t="s">
        <v>1666</v>
      </c>
      <c r="D755" s="389">
        <v>1105.23</v>
      </c>
      <c r="E755" s="96"/>
      <c r="F755" s="47">
        <f>D755+E755</f>
        <v>1105.23</v>
      </c>
      <c r="G755" s="412"/>
      <c r="H755" s="253"/>
      <c r="I755" s="34"/>
      <c r="J755" s="253"/>
      <c r="K755" s="308"/>
      <c r="L755" s="253"/>
      <c r="M755" s="253"/>
      <c r="N755" s="253"/>
      <c r="O755" s="253"/>
      <c r="P755" s="253"/>
      <c r="Q755" s="253"/>
      <c r="R755" s="253"/>
      <c r="S755" s="253"/>
      <c r="Y755" s="89"/>
      <c r="BI755" s="89"/>
      <c r="BJ755" s="305"/>
    </row>
    <row r="756" spans="1:256" s="2" customFormat="1" ht="21.75" customHeight="1" x14ac:dyDescent="0.2">
      <c r="A756" s="114" t="s">
        <v>2362</v>
      </c>
      <c r="B756" s="392" t="s">
        <v>1814</v>
      </c>
      <c r="C756" s="122" t="s">
        <v>1666</v>
      </c>
      <c r="D756" s="389">
        <v>753.38</v>
      </c>
      <c r="E756" s="96"/>
      <c r="F756" s="47"/>
      <c r="G756" s="412"/>
      <c r="H756" s="253"/>
      <c r="I756" s="34"/>
      <c r="J756" s="253"/>
      <c r="K756" s="308"/>
      <c r="L756" s="253"/>
      <c r="M756" s="253"/>
      <c r="N756" s="253"/>
      <c r="O756" s="253"/>
      <c r="P756" s="253"/>
      <c r="Q756" s="253"/>
      <c r="R756" s="253"/>
      <c r="S756" s="253"/>
      <c r="Y756" s="89"/>
      <c r="BI756" s="89"/>
      <c r="BJ756" s="305"/>
    </row>
    <row r="757" spans="1:256" s="2" customFormat="1" ht="50.25" customHeight="1" x14ac:dyDescent="0.2">
      <c r="A757" s="114" t="s">
        <v>2363</v>
      </c>
      <c r="B757" s="392" t="s">
        <v>1738</v>
      </c>
      <c r="C757" s="122" t="s">
        <v>1666</v>
      </c>
      <c r="D757" s="389">
        <v>1547.83</v>
      </c>
      <c r="E757" s="47"/>
      <c r="F757" s="47"/>
      <c r="G757" s="226"/>
      <c r="H757" s="253"/>
      <c r="I757" s="253"/>
      <c r="J757" s="253"/>
      <c r="K757" s="253"/>
      <c r="L757" s="253"/>
      <c r="M757" s="253"/>
      <c r="N757" s="253"/>
      <c r="O757" s="253"/>
      <c r="P757" s="253"/>
      <c r="Q757" s="253"/>
      <c r="R757" s="253"/>
      <c r="S757" s="253"/>
      <c r="EH757" s="3"/>
      <c r="GS757" s="3"/>
      <c r="IV757" s="302"/>
    </row>
    <row r="758" spans="1:256" s="2" customFormat="1" ht="30.75" customHeight="1" x14ac:dyDescent="0.2">
      <c r="A758" s="114" t="s">
        <v>2364</v>
      </c>
      <c r="B758" s="392" t="s">
        <v>2223</v>
      </c>
      <c r="C758" s="384" t="s">
        <v>228</v>
      </c>
      <c r="D758" s="389">
        <f>2654.33</f>
        <v>2654.33</v>
      </c>
      <c r="E758" s="47"/>
      <c r="F758" s="47"/>
      <c r="G758" s="226"/>
      <c r="H758" s="253"/>
      <c r="I758" s="253"/>
      <c r="J758" s="253"/>
      <c r="K758" s="253"/>
      <c r="L758" s="253"/>
      <c r="M758" s="253"/>
      <c r="N758" s="253"/>
      <c r="O758" s="253"/>
      <c r="P758" s="253"/>
      <c r="Q758" s="253"/>
      <c r="R758" s="253"/>
      <c r="S758" s="253"/>
      <c r="EH758" s="3"/>
      <c r="GS758" s="3"/>
      <c r="IV758" s="302"/>
    </row>
    <row r="759" spans="1:256" s="2" customFormat="1" ht="30.75" customHeight="1" x14ac:dyDescent="0.2">
      <c r="A759" s="114" t="s">
        <v>2365</v>
      </c>
      <c r="B759" s="392" t="s">
        <v>2278</v>
      </c>
      <c r="C759" s="384" t="s">
        <v>228</v>
      </c>
      <c r="D759" s="389">
        <v>3040.49</v>
      </c>
      <c r="E759" s="47"/>
      <c r="F759" s="47"/>
      <c r="G759" s="226"/>
      <c r="H759" s="253"/>
      <c r="I759" s="253"/>
      <c r="J759" s="253"/>
      <c r="K759" s="253"/>
      <c r="L759" s="253"/>
      <c r="M759" s="253"/>
      <c r="N759" s="253"/>
      <c r="O759" s="253"/>
      <c r="P759" s="253"/>
      <c r="Q759" s="253"/>
      <c r="R759" s="253"/>
      <c r="S759" s="253"/>
      <c r="EH759" s="3"/>
      <c r="GS759" s="3"/>
      <c r="IV759" s="367"/>
    </row>
    <row r="760" spans="1:256" s="2" customFormat="1" ht="30.75" customHeight="1" x14ac:dyDescent="0.2">
      <c r="A760" s="114" t="s">
        <v>2366</v>
      </c>
      <c r="B760" s="392" t="s">
        <v>2279</v>
      </c>
      <c r="C760" s="384" t="s">
        <v>228</v>
      </c>
      <c r="D760" s="389">
        <v>3095.12</v>
      </c>
      <c r="E760" s="47"/>
      <c r="F760" s="47"/>
      <c r="G760" s="226"/>
      <c r="H760" s="253"/>
      <c r="I760" s="253"/>
      <c r="J760" s="253"/>
      <c r="K760" s="253"/>
      <c r="L760" s="253"/>
      <c r="M760" s="253"/>
      <c r="N760" s="253"/>
      <c r="O760" s="253"/>
      <c r="P760" s="253"/>
      <c r="Q760" s="253"/>
      <c r="R760" s="253"/>
      <c r="S760" s="253"/>
      <c r="EH760" s="3"/>
      <c r="GS760" s="3"/>
      <c r="IV760" s="367"/>
    </row>
    <row r="761" spans="1:256" s="2" customFormat="1" ht="21" customHeight="1" x14ac:dyDescent="0.2">
      <c r="A761" s="118"/>
      <c r="B761" s="44"/>
      <c r="C761" s="119"/>
      <c r="D761" s="412"/>
      <c r="E761" s="47"/>
      <c r="F761" s="47"/>
      <c r="G761" s="226"/>
      <c r="H761" s="253"/>
      <c r="I761" s="253"/>
      <c r="J761" s="253"/>
      <c r="K761" s="253"/>
      <c r="L761" s="253"/>
      <c r="M761" s="253"/>
      <c r="N761" s="253"/>
      <c r="O761" s="253"/>
      <c r="P761" s="253"/>
      <c r="Q761" s="253"/>
      <c r="R761" s="253"/>
      <c r="S761" s="253"/>
      <c r="EH761" s="3"/>
      <c r="GS761" s="3"/>
      <c r="IV761" s="302"/>
    </row>
    <row r="762" spans="1:256" s="2" customFormat="1" ht="21" hidden="1" customHeight="1" x14ac:dyDescent="0.2">
      <c r="A762" s="118"/>
      <c r="B762" s="44"/>
      <c r="C762" s="119"/>
      <c r="D762" s="412"/>
      <c r="E762" s="47"/>
      <c r="F762" s="47"/>
      <c r="G762" s="226"/>
      <c r="H762" s="253"/>
      <c r="I762" s="253"/>
      <c r="J762" s="253"/>
      <c r="K762" s="253"/>
      <c r="L762" s="253"/>
      <c r="M762" s="253"/>
      <c r="N762" s="253"/>
      <c r="O762" s="253"/>
      <c r="P762" s="253"/>
      <c r="Q762" s="253"/>
      <c r="R762" s="253"/>
      <c r="S762" s="253"/>
      <c r="EH762" s="3"/>
      <c r="GS762" s="3"/>
      <c r="IV762" s="302"/>
    </row>
    <row r="763" spans="1:256" s="2" customFormat="1" ht="21" hidden="1" customHeight="1" x14ac:dyDescent="0.2">
      <c r="A763" s="118"/>
      <c r="B763" s="44"/>
      <c r="C763" s="119"/>
      <c r="D763" s="412"/>
      <c r="E763" s="47"/>
      <c r="F763" s="47"/>
      <c r="G763" s="226"/>
      <c r="H763" s="253"/>
      <c r="I763" s="253"/>
      <c r="J763" s="253"/>
      <c r="K763" s="253"/>
      <c r="L763" s="253"/>
      <c r="M763" s="253"/>
      <c r="N763" s="253"/>
      <c r="O763" s="253"/>
      <c r="P763" s="253"/>
      <c r="Q763" s="253"/>
      <c r="R763" s="253"/>
      <c r="S763" s="253"/>
      <c r="EH763" s="3"/>
      <c r="GS763" s="3"/>
      <c r="IV763" s="302"/>
    </row>
    <row r="764" spans="1:256" s="2" customFormat="1" ht="21" hidden="1" customHeight="1" x14ac:dyDescent="0.2">
      <c r="A764" s="118"/>
      <c r="B764" s="44"/>
      <c r="C764" s="119"/>
      <c r="D764" s="412"/>
      <c r="E764" s="47"/>
      <c r="F764" s="47"/>
      <c r="G764" s="226"/>
      <c r="H764" s="253"/>
      <c r="I764" s="253"/>
      <c r="J764" s="253"/>
      <c r="K764" s="253"/>
      <c r="L764" s="253"/>
      <c r="M764" s="253"/>
      <c r="N764" s="253"/>
      <c r="O764" s="253"/>
      <c r="P764" s="253"/>
      <c r="Q764" s="253"/>
      <c r="R764" s="253"/>
      <c r="S764" s="253"/>
      <c r="EH764" s="3"/>
      <c r="GS764" s="3"/>
      <c r="IV764" s="302"/>
    </row>
    <row r="765" spans="1:256" s="2" customFormat="1" ht="21" hidden="1" customHeight="1" x14ac:dyDescent="0.2">
      <c r="A765" s="118"/>
      <c r="B765" s="44"/>
      <c r="C765" s="119"/>
      <c r="D765" s="412"/>
      <c r="E765" s="47"/>
      <c r="F765" s="47"/>
      <c r="G765" s="226"/>
      <c r="H765" s="253"/>
      <c r="I765" s="253"/>
      <c r="J765" s="253"/>
      <c r="K765" s="253"/>
      <c r="L765" s="253"/>
      <c r="M765" s="253"/>
      <c r="N765" s="253"/>
      <c r="O765" s="253"/>
      <c r="P765" s="253"/>
      <c r="Q765" s="253"/>
      <c r="R765" s="253"/>
      <c r="S765" s="253"/>
      <c r="EH765" s="3"/>
      <c r="GS765" s="3"/>
      <c r="IV765" s="302"/>
    </row>
    <row r="766" spans="1:256" s="2" customFormat="1" ht="21" hidden="1" customHeight="1" x14ac:dyDescent="0.2">
      <c r="A766" s="118"/>
      <c r="B766" s="44"/>
      <c r="C766" s="119"/>
      <c r="D766" s="412"/>
      <c r="E766" s="47"/>
      <c r="F766" s="47"/>
      <c r="G766" s="226"/>
      <c r="H766" s="253"/>
      <c r="I766" s="253"/>
      <c r="J766" s="253"/>
      <c r="K766" s="253"/>
      <c r="L766" s="253"/>
      <c r="M766" s="253"/>
      <c r="N766" s="253"/>
      <c r="O766" s="253"/>
      <c r="P766" s="253"/>
      <c r="Q766" s="253"/>
      <c r="R766" s="253"/>
      <c r="S766" s="253"/>
      <c r="EH766" s="3"/>
      <c r="GS766" s="3"/>
      <c r="IV766" s="302"/>
    </row>
    <row r="767" spans="1:256" s="2" customFormat="1" ht="21" hidden="1" customHeight="1" x14ac:dyDescent="0.2">
      <c r="A767" s="118"/>
      <c r="B767" s="44"/>
      <c r="C767" s="119"/>
      <c r="D767" s="412"/>
      <c r="E767" s="47"/>
      <c r="F767" s="47"/>
      <c r="G767" s="226"/>
      <c r="H767" s="253"/>
      <c r="I767" s="253"/>
      <c r="J767" s="253"/>
      <c r="K767" s="253"/>
      <c r="L767" s="253"/>
      <c r="M767" s="253"/>
      <c r="N767" s="253"/>
      <c r="O767" s="253"/>
      <c r="P767" s="253"/>
      <c r="Q767" s="253"/>
      <c r="R767" s="253"/>
      <c r="S767" s="253"/>
      <c r="EH767" s="3"/>
      <c r="GS767" s="3"/>
      <c r="IV767" s="302"/>
    </row>
    <row r="768" spans="1:256" s="2" customFormat="1" ht="21" hidden="1" customHeight="1" x14ac:dyDescent="0.2">
      <c r="A768" s="118"/>
      <c r="B768" s="44"/>
      <c r="C768" s="119"/>
      <c r="D768" s="412"/>
      <c r="E768" s="47"/>
      <c r="F768" s="47"/>
      <c r="G768" s="226"/>
      <c r="H768" s="253"/>
      <c r="I768" s="253"/>
      <c r="J768" s="253"/>
      <c r="K768" s="253"/>
      <c r="L768" s="253"/>
      <c r="M768" s="253"/>
      <c r="N768" s="253"/>
      <c r="O768" s="253"/>
      <c r="P768" s="253"/>
      <c r="Q768" s="253"/>
      <c r="R768" s="253"/>
      <c r="S768" s="253"/>
      <c r="EH768" s="3"/>
      <c r="GS768" s="3"/>
      <c r="IV768" s="302"/>
    </row>
    <row r="769" spans="1:256" s="2" customFormat="1" ht="21" hidden="1" customHeight="1" x14ac:dyDescent="0.2">
      <c r="A769" s="118"/>
      <c r="B769" s="44"/>
      <c r="C769" s="119"/>
      <c r="D769" s="412"/>
      <c r="E769" s="47"/>
      <c r="F769" s="47"/>
      <c r="G769" s="226"/>
      <c r="H769" s="253"/>
      <c r="I769" s="253"/>
      <c r="J769" s="253"/>
      <c r="K769" s="253"/>
      <c r="L769" s="253"/>
      <c r="M769" s="253"/>
      <c r="N769" s="253"/>
      <c r="O769" s="253"/>
      <c r="P769" s="253"/>
      <c r="Q769" s="253"/>
      <c r="R769" s="253"/>
      <c r="S769" s="253"/>
      <c r="EH769" s="3"/>
      <c r="GS769" s="3"/>
      <c r="IV769" s="302"/>
    </row>
    <row r="770" spans="1:256" s="2" customFormat="1" ht="24.75" hidden="1" customHeight="1" x14ac:dyDescent="0.2">
      <c r="A770" s="118"/>
      <c r="B770" s="44"/>
      <c r="C770" s="119"/>
      <c r="D770" s="412"/>
      <c r="E770" s="47"/>
      <c r="F770" s="47"/>
      <c r="G770" s="226"/>
      <c r="H770" s="253"/>
      <c r="I770" s="253"/>
      <c r="J770" s="253"/>
      <c r="K770" s="253"/>
      <c r="L770" s="253"/>
      <c r="M770" s="253"/>
      <c r="N770" s="253"/>
      <c r="O770" s="253"/>
      <c r="P770" s="253"/>
      <c r="Q770" s="253"/>
      <c r="R770" s="253"/>
      <c r="S770" s="253"/>
      <c r="EH770" s="3"/>
      <c r="GS770" s="3"/>
      <c r="IV770" s="302"/>
    </row>
    <row r="771" spans="1:256" s="2" customFormat="1" ht="24.75" hidden="1" customHeight="1" x14ac:dyDescent="0.2">
      <c r="A771" s="118"/>
      <c r="B771" s="44"/>
      <c r="C771" s="119"/>
      <c r="D771" s="412"/>
      <c r="E771" s="47"/>
      <c r="F771" s="47"/>
      <c r="G771" s="226"/>
      <c r="H771" s="253"/>
      <c r="I771" s="253"/>
      <c r="J771" s="253"/>
      <c r="K771" s="253"/>
      <c r="L771" s="253"/>
      <c r="M771" s="253"/>
      <c r="N771" s="253"/>
      <c r="O771" s="253"/>
      <c r="P771" s="253"/>
      <c r="Q771" s="253"/>
      <c r="R771" s="253"/>
      <c r="S771" s="253"/>
      <c r="EH771" s="3"/>
      <c r="GS771" s="3"/>
      <c r="IV771" s="302"/>
    </row>
    <row r="772" spans="1:256" s="2" customFormat="1" ht="24.75" hidden="1" customHeight="1" x14ac:dyDescent="0.2">
      <c r="A772" s="118"/>
      <c r="B772" s="44"/>
      <c r="C772" s="119"/>
      <c r="D772" s="412"/>
      <c r="E772" s="47"/>
      <c r="F772" s="47"/>
      <c r="G772" s="226"/>
      <c r="H772" s="253"/>
      <c r="I772" s="253"/>
      <c r="J772" s="253"/>
      <c r="K772" s="253"/>
      <c r="L772" s="253"/>
      <c r="M772" s="253"/>
      <c r="N772" s="253"/>
      <c r="O772" s="253"/>
      <c r="P772" s="253"/>
      <c r="Q772" s="253"/>
      <c r="R772" s="253"/>
      <c r="S772" s="253"/>
      <c r="EH772" s="3"/>
      <c r="GS772" s="3"/>
      <c r="IV772" s="302"/>
    </row>
    <row r="773" spans="1:256" s="2" customFormat="1" ht="24.75" hidden="1" customHeight="1" x14ac:dyDescent="0.2">
      <c r="A773" s="118"/>
      <c r="B773" s="44"/>
      <c r="C773" s="119"/>
      <c r="D773" s="412"/>
      <c r="E773" s="47"/>
      <c r="F773" s="47"/>
      <c r="G773" s="226"/>
      <c r="H773" s="253"/>
      <c r="I773" s="253"/>
      <c r="J773" s="253"/>
      <c r="K773" s="253"/>
      <c r="L773" s="253"/>
      <c r="M773" s="253"/>
      <c r="N773" s="253"/>
      <c r="O773" s="253"/>
      <c r="P773" s="253"/>
      <c r="Q773" s="253"/>
      <c r="R773" s="253"/>
      <c r="S773" s="253"/>
      <c r="EH773" s="3"/>
      <c r="GS773" s="3"/>
      <c r="IV773" s="302"/>
    </row>
    <row r="774" spans="1:256" s="2" customFormat="1" ht="54" customHeight="1" x14ac:dyDescent="0.2">
      <c r="A774" s="420" t="s">
        <v>2040</v>
      </c>
      <c r="B774" s="420"/>
      <c r="C774" s="420"/>
      <c r="D774" s="420"/>
      <c r="E774" s="201"/>
      <c r="F774" s="201"/>
      <c r="G774" s="201"/>
      <c r="H774" s="253"/>
      <c r="I774" s="253"/>
      <c r="J774" s="253"/>
      <c r="K774" s="253"/>
      <c r="L774" s="253"/>
      <c r="M774" s="253"/>
      <c r="N774" s="253"/>
      <c r="O774" s="253"/>
      <c r="P774" s="253"/>
      <c r="Q774" s="253"/>
      <c r="R774" s="253"/>
      <c r="S774" s="253"/>
      <c r="EH774" s="3"/>
      <c r="GS774" s="3"/>
    </row>
    <row r="775" spans="1:256" s="2" customFormat="1" ht="67.5" customHeight="1" x14ac:dyDescent="0.2">
      <c r="A775" s="380" t="s">
        <v>121</v>
      </c>
      <c r="B775" s="386" t="s">
        <v>1021</v>
      </c>
      <c r="C775" s="386" t="s">
        <v>9</v>
      </c>
      <c r="D775" s="386" t="s">
        <v>10</v>
      </c>
      <c r="E775" s="371"/>
      <c r="F775" s="371" t="s">
        <v>1023</v>
      </c>
      <c r="G775" s="226"/>
      <c r="H775" s="253"/>
      <c r="I775" s="253"/>
      <c r="J775" s="253"/>
      <c r="K775" s="253"/>
      <c r="L775" s="253"/>
      <c r="M775" s="253"/>
      <c r="N775" s="253"/>
      <c r="O775" s="253"/>
      <c r="P775" s="253"/>
      <c r="Q775" s="253"/>
      <c r="R775" s="253"/>
      <c r="S775" s="253"/>
      <c r="EH775" s="3"/>
      <c r="GS775" s="3"/>
    </row>
    <row r="776" spans="1:256" s="2" customFormat="1" ht="15.75" x14ac:dyDescent="0.2">
      <c r="A776" s="396">
        <v>1</v>
      </c>
      <c r="B776" s="386">
        <v>2</v>
      </c>
      <c r="C776" s="386">
        <v>3</v>
      </c>
      <c r="D776" s="260">
        <v>4</v>
      </c>
      <c r="E776" s="371"/>
      <c r="F776" s="371">
        <v>6</v>
      </c>
      <c r="G776" s="226"/>
      <c r="H776" s="253"/>
      <c r="I776" s="253"/>
      <c r="J776" s="253"/>
      <c r="K776" s="253"/>
      <c r="L776" s="253"/>
      <c r="M776" s="253"/>
      <c r="N776" s="253"/>
      <c r="O776" s="253"/>
      <c r="P776" s="253"/>
      <c r="Q776" s="253"/>
      <c r="R776" s="253"/>
      <c r="S776" s="253"/>
      <c r="EH776" s="3"/>
      <c r="GS776" s="3"/>
    </row>
    <row r="777" spans="1:256" s="2" customFormat="1" ht="31.5" hidden="1" x14ac:dyDescent="0.2">
      <c r="A777" s="121" t="s">
        <v>1024</v>
      </c>
      <c r="B777" s="397" t="s">
        <v>1025</v>
      </c>
      <c r="C777" s="122" t="s">
        <v>1026</v>
      </c>
      <c r="D777" s="263">
        <f>114.95</f>
        <v>114.95</v>
      </c>
      <c r="E777" s="96">
        <f>D777*20%</f>
        <v>22.99</v>
      </c>
      <c r="F777" s="154">
        <f>D777+E777</f>
        <v>137.94</v>
      </c>
      <c r="G777" s="226"/>
      <c r="H777" s="253"/>
      <c r="I777" s="253"/>
      <c r="J777" s="253"/>
      <c r="K777" s="253"/>
      <c r="L777" s="253"/>
      <c r="M777" s="253"/>
      <c r="N777" s="253"/>
      <c r="O777" s="253"/>
      <c r="P777" s="253"/>
      <c r="Q777" s="253"/>
      <c r="R777" s="253"/>
      <c r="S777" s="253"/>
      <c r="EH777" s="3"/>
      <c r="GS777" s="3"/>
      <c r="IU777" s="72">
        <f>105.77*1.04</f>
        <v>110</v>
      </c>
      <c r="IV777" s="312">
        <f>110*1.045</f>
        <v>114.95</v>
      </c>
    </row>
    <row r="778" spans="1:256" s="2" customFormat="1" ht="15.75" hidden="1" x14ac:dyDescent="0.25">
      <c r="A778" s="121" t="s">
        <v>1027</v>
      </c>
      <c r="B778" s="449" t="s">
        <v>1028</v>
      </c>
      <c r="C778" s="449"/>
      <c r="D778" s="449"/>
      <c r="E778" s="449"/>
      <c r="F778" s="449"/>
      <c r="G778" s="226"/>
      <c r="H778" s="253"/>
      <c r="I778" s="253"/>
      <c r="J778" s="253"/>
      <c r="K778" s="253"/>
      <c r="L778" s="253"/>
      <c r="M778" s="253"/>
      <c r="N778" s="253"/>
      <c r="O778" s="253"/>
      <c r="P778" s="253"/>
      <c r="Q778" s="253"/>
      <c r="R778" s="253"/>
      <c r="S778" s="253"/>
      <c r="EH778" s="3"/>
      <c r="GS778" s="3"/>
    </row>
    <row r="779" spans="1:256" s="2" customFormat="1" ht="18.75" hidden="1" customHeight="1" x14ac:dyDescent="0.25">
      <c r="A779" s="124" t="s">
        <v>1029</v>
      </c>
      <c r="B779" s="125" t="s">
        <v>1030</v>
      </c>
      <c r="C779" s="122" t="s">
        <v>1026</v>
      </c>
      <c r="D779" s="263">
        <f>15.66</f>
        <v>15.66</v>
      </c>
      <c r="E779" s="96">
        <f>D779*20%</f>
        <v>3.13</v>
      </c>
      <c r="F779" s="154">
        <f>D779+E779</f>
        <v>18.79</v>
      </c>
      <c r="G779" s="226"/>
      <c r="H779" s="253"/>
      <c r="I779" s="253"/>
      <c r="J779" s="253"/>
      <c r="K779" s="253"/>
      <c r="L779" s="253"/>
      <c r="M779" s="253"/>
      <c r="N779" s="253"/>
      <c r="O779" s="253"/>
      <c r="P779" s="253"/>
      <c r="Q779" s="253"/>
      <c r="R779" s="253"/>
      <c r="S779" s="253"/>
      <c r="EH779" s="3"/>
      <c r="GS779" s="3"/>
      <c r="IU779" s="301">
        <f>14.41*1.04</f>
        <v>14.99</v>
      </c>
      <c r="IV779" s="312">
        <f>14.99*1.045</f>
        <v>15.66</v>
      </c>
    </row>
    <row r="780" spans="1:256" s="2" customFormat="1" ht="47.25" hidden="1" x14ac:dyDescent="0.2">
      <c r="A780" s="126" t="s">
        <v>1031</v>
      </c>
      <c r="B780" s="381" t="s">
        <v>1032</v>
      </c>
      <c r="C780" s="122" t="s">
        <v>1026</v>
      </c>
      <c r="D780" s="263">
        <f>312.12</f>
        <v>312.12</v>
      </c>
      <c r="E780" s="96">
        <f>D780*20%</f>
        <v>62.42</v>
      </c>
      <c r="F780" s="154">
        <f>D780+E780</f>
        <v>374.54</v>
      </c>
      <c r="G780" s="226"/>
      <c r="H780" s="253"/>
      <c r="I780" s="253"/>
      <c r="J780" s="253"/>
      <c r="K780" s="253"/>
      <c r="L780" s="253"/>
      <c r="M780" s="253"/>
      <c r="N780" s="253"/>
      <c r="O780" s="253"/>
      <c r="P780" s="253"/>
      <c r="Q780" s="253"/>
      <c r="R780" s="253"/>
      <c r="S780" s="253"/>
      <c r="EH780" s="3"/>
      <c r="GS780" s="3"/>
      <c r="IU780" s="301">
        <f>287.19*1.04</f>
        <v>298.68</v>
      </c>
      <c r="IV780" s="312">
        <f>298.68*1.045</f>
        <v>312.12</v>
      </c>
    </row>
    <row r="781" spans="1:256" s="2" customFormat="1" ht="21" hidden="1" customHeight="1" x14ac:dyDescent="0.25">
      <c r="A781" s="126" t="s">
        <v>1033</v>
      </c>
      <c r="B781" s="125" t="s">
        <v>1034</v>
      </c>
      <c r="C781" s="122" t="s">
        <v>1026</v>
      </c>
      <c r="D781" s="263">
        <f>51.83</f>
        <v>51.83</v>
      </c>
      <c r="E781" s="96">
        <f>D781*20%</f>
        <v>10.37</v>
      </c>
      <c r="F781" s="154">
        <f>D781+E781</f>
        <v>62.2</v>
      </c>
      <c r="G781" s="226"/>
      <c r="H781" s="253"/>
      <c r="I781" s="253"/>
      <c r="J781" s="253"/>
      <c r="K781" s="253"/>
      <c r="L781" s="253"/>
      <c r="M781" s="253"/>
      <c r="N781" s="253"/>
      <c r="O781" s="253"/>
      <c r="P781" s="253"/>
      <c r="Q781" s="253"/>
      <c r="R781" s="253"/>
      <c r="S781" s="253"/>
      <c r="EH781" s="3"/>
      <c r="GS781" s="3"/>
      <c r="IU781" s="301">
        <f>47.69*1.04</f>
        <v>49.6</v>
      </c>
      <c r="IV781" s="312">
        <f>49.6*1.045</f>
        <v>51.83</v>
      </c>
    </row>
    <row r="782" spans="1:256" s="2" customFormat="1" ht="19.5" hidden="1" customHeight="1" x14ac:dyDescent="0.25">
      <c r="A782" s="126" t="s">
        <v>1035</v>
      </c>
      <c r="B782" s="125" t="s">
        <v>1036</v>
      </c>
      <c r="C782" s="122" t="s">
        <v>1026</v>
      </c>
      <c r="D782" s="263">
        <f>102.41</f>
        <v>102.41</v>
      </c>
      <c r="E782" s="96">
        <f>D782*20%</f>
        <v>20.48</v>
      </c>
      <c r="F782" s="154">
        <f>D782+E782</f>
        <v>122.89</v>
      </c>
      <c r="G782" s="226"/>
      <c r="H782" s="253"/>
      <c r="I782" s="253"/>
      <c r="J782" s="253"/>
      <c r="K782" s="253"/>
      <c r="L782" s="253"/>
      <c r="M782" s="253"/>
      <c r="N782" s="253"/>
      <c r="O782" s="253"/>
      <c r="P782" s="253"/>
      <c r="Q782" s="253"/>
      <c r="R782" s="253"/>
      <c r="S782" s="253"/>
      <c r="EH782" s="3"/>
      <c r="GS782" s="3"/>
      <c r="IU782" s="301">
        <f>94.23*1.04</f>
        <v>98</v>
      </c>
      <c r="IV782" s="312">
        <f>98*1.045</f>
        <v>102.41</v>
      </c>
    </row>
    <row r="783" spans="1:256" s="2" customFormat="1" ht="15.75" hidden="1" x14ac:dyDescent="0.2">
      <c r="A783" s="121" t="s">
        <v>1037</v>
      </c>
      <c r="B783" s="430" t="s">
        <v>1038</v>
      </c>
      <c r="C783" s="430"/>
      <c r="D783" s="430"/>
      <c r="E783" s="430"/>
      <c r="F783" s="430"/>
      <c r="G783" s="226"/>
      <c r="H783" s="253"/>
      <c r="I783" s="253"/>
      <c r="J783" s="253"/>
      <c r="K783" s="253"/>
      <c r="L783" s="253"/>
      <c r="M783" s="253"/>
      <c r="N783" s="253"/>
      <c r="O783" s="253"/>
      <c r="P783" s="253"/>
      <c r="Q783" s="253"/>
      <c r="R783" s="253"/>
      <c r="S783" s="253"/>
      <c r="EH783" s="3"/>
      <c r="GS783" s="3"/>
    </row>
    <row r="784" spans="1:256" s="2" customFormat="1" ht="15.75" hidden="1" x14ac:dyDescent="0.25">
      <c r="A784" s="126" t="s">
        <v>1039</v>
      </c>
      <c r="B784" s="125" t="s">
        <v>1040</v>
      </c>
      <c r="C784" s="122" t="s">
        <v>1026</v>
      </c>
      <c r="D784" s="263">
        <f>36.4</f>
        <v>36.4</v>
      </c>
      <c r="E784" s="96">
        <f>D784*20%</f>
        <v>7.28</v>
      </c>
      <c r="F784" s="154">
        <f>D784+E784</f>
        <v>43.68</v>
      </c>
      <c r="G784" s="226"/>
      <c r="H784" s="253"/>
      <c r="I784" s="253"/>
      <c r="J784" s="253"/>
      <c r="K784" s="253"/>
      <c r="L784" s="253"/>
      <c r="M784" s="253"/>
      <c r="N784" s="253"/>
      <c r="O784" s="253"/>
      <c r="P784" s="253"/>
      <c r="Q784" s="253"/>
      <c r="R784" s="253"/>
      <c r="S784" s="253"/>
      <c r="EH784" s="3"/>
      <c r="GS784" s="3"/>
      <c r="IU784" s="301">
        <f>6.88*1.04</f>
        <v>7.16</v>
      </c>
      <c r="IV784" s="312">
        <f>7.16*1.045</f>
        <v>7.48</v>
      </c>
    </row>
    <row r="785" spans="1:256" s="2" customFormat="1" ht="15.75" hidden="1" x14ac:dyDescent="0.25">
      <c r="A785" s="126" t="s">
        <v>1041</v>
      </c>
      <c r="B785" s="125" t="s">
        <v>1042</v>
      </c>
      <c r="C785" s="122" t="s">
        <v>1026</v>
      </c>
      <c r="D785" s="263">
        <f>36.58</f>
        <v>36.58</v>
      </c>
      <c r="E785" s="96">
        <f>D785*20%</f>
        <v>7.32</v>
      </c>
      <c r="F785" s="154">
        <f>D785+E785</f>
        <v>43.9</v>
      </c>
      <c r="G785" s="226"/>
      <c r="H785" s="253"/>
      <c r="I785" s="253"/>
      <c r="J785" s="253"/>
      <c r="K785" s="253"/>
      <c r="L785" s="253"/>
      <c r="M785" s="253"/>
      <c r="N785" s="253"/>
      <c r="O785" s="253"/>
      <c r="P785" s="253"/>
      <c r="Q785" s="253"/>
      <c r="R785" s="253"/>
      <c r="S785" s="253"/>
      <c r="EH785" s="3"/>
      <c r="GS785" s="3"/>
      <c r="IU785" s="301">
        <f>33.65*1.04</f>
        <v>35</v>
      </c>
      <c r="IV785" s="312">
        <f>35*1.045</f>
        <v>36.58</v>
      </c>
    </row>
    <row r="786" spans="1:256" s="2" customFormat="1" ht="18" hidden="1" customHeight="1" x14ac:dyDescent="0.25">
      <c r="A786" s="126" t="s">
        <v>1043</v>
      </c>
      <c r="B786" s="125" t="s">
        <v>1044</v>
      </c>
      <c r="C786" s="122" t="s">
        <v>1026</v>
      </c>
      <c r="D786" s="263">
        <f>46.37</f>
        <v>46.37</v>
      </c>
      <c r="E786" s="96">
        <f>D786*20%</f>
        <v>9.27</v>
      </c>
      <c r="F786" s="154">
        <f>D786+E786</f>
        <v>55.64</v>
      </c>
      <c r="G786" s="226"/>
      <c r="H786" s="253"/>
      <c r="I786" s="253"/>
      <c r="J786" s="253"/>
      <c r="K786" s="253"/>
      <c r="L786" s="253"/>
      <c r="M786" s="253"/>
      <c r="N786" s="253"/>
      <c r="O786" s="253"/>
      <c r="P786" s="253"/>
      <c r="Q786" s="253"/>
      <c r="R786" s="253"/>
      <c r="S786" s="253"/>
      <c r="EH786" s="3"/>
      <c r="GS786" s="3"/>
      <c r="IU786" s="301">
        <f>42.66*1.04</f>
        <v>44.37</v>
      </c>
      <c r="IV786" s="312">
        <f>44.37*1.045</f>
        <v>46.37</v>
      </c>
    </row>
    <row r="787" spans="1:256" s="2" customFormat="1" ht="15.75" hidden="1" customHeight="1" x14ac:dyDescent="0.2">
      <c r="A787" s="121" t="s">
        <v>1045</v>
      </c>
      <c r="B787" s="430" t="s">
        <v>1046</v>
      </c>
      <c r="C787" s="430"/>
      <c r="D787" s="430"/>
      <c r="E787" s="430"/>
      <c r="F787" s="430"/>
      <c r="G787" s="226"/>
      <c r="H787" s="253"/>
      <c r="I787" s="253"/>
      <c r="J787" s="253"/>
      <c r="K787" s="253"/>
      <c r="L787" s="253"/>
      <c r="M787" s="253"/>
      <c r="N787" s="253"/>
      <c r="O787" s="253"/>
      <c r="P787" s="253"/>
      <c r="Q787" s="253"/>
      <c r="R787" s="253"/>
      <c r="S787" s="253"/>
      <c r="EH787" s="3"/>
      <c r="GS787" s="3"/>
    </row>
    <row r="788" spans="1:256" s="2" customFormat="1" ht="15.75" hidden="1" x14ac:dyDescent="0.2">
      <c r="A788" s="126" t="s">
        <v>1047</v>
      </c>
      <c r="B788" s="381" t="s">
        <v>1048</v>
      </c>
      <c r="C788" s="122" t="s">
        <v>1026</v>
      </c>
      <c r="D788" s="263">
        <f>50.37</f>
        <v>50.37</v>
      </c>
      <c r="E788" s="96">
        <f>D788*20%</f>
        <v>10.07</v>
      </c>
      <c r="F788" s="154">
        <f>D788+E788</f>
        <v>60.44</v>
      </c>
      <c r="G788" s="226"/>
      <c r="H788" s="253"/>
      <c r="I788" s="253"/>
      <c r="J788" s="253"/>
      <c r="K788" s="253"/>
      <c r="L788" s="253"/>
      <c r="M788" s="253"/>
      <c r="N788" s="253"/>
      <c r="O788" s="253"/>
      <c r="P788" s="253"/>
      <c r="Q788" s="253"/>
      <c r="R788" s="253"/>
      <c r="S788" s="253"/>
      <c r="EH788" s="3"/>
      <c r="GS788" s="3"/>
      <c r="IU788" s="301">
        <f>13.93*1.04</f>
        <v>14.49</v>
      </c>
      <c r="IV788" s="312">
        <f>14.49*1.045</f>
        <v>15.14</v>
      </c>
    </row>
    <row r="789" spans="1:256" s="2" customFormat="1" ht="21" hidden="1" customHeight="1" x14ac:dyDescent="0.2">
      <c r="A789" s="222" t="s">
        <v>1049</v>
      </c>
      <c r="B789" s="212" t="s">
        <v>1050</v>
      </c>
      <c r="C789" s="223" t="s">
        <v>1026</v>
      </c>
      <c r="D789" s="268">
        <f>50.37</f>
        <v>50.37</v>
      </c>
      <c r="E789" s="96">
        <f>D789*20%</f>
        <v>10.07</v>
      </c>
      <c r="F789" s="154">
        <f>D789+E789</f>
        <v>60.44</v>
      </c>
      <c r="G789" s="226"/>
      <c r="H789" s="253"/>
      <c r="I789" s="253"/>
      <c r="J789" s="253"/>
      <c r="K789" s="253"/>
      <c r="L789" s="253"/>
      <c r="M789" s="253"/>
      <c r="N789" s="253"/>
      <c r="O789" s="253"/>
      <c r="P789" s="253"/>
      <c r="Q789" s="253"/>
      <c r="R789" s="253"/>
      <c r="S789" s="253"/>
      <c r="EH789" s="3"/>
      <c r="GS789" s="3"/>
      <c r="IU789" s="301">
        <f>13.93*1.04</f>
        <v>14.49</v>
      </c>
      <c r="IV789" s="312">
        <f>14.49*1.045</f>
        <v>15.14</v>
      </c>
    </row>
    <row r="790" spans="1:256" s="2" customFormat="1" ht="20.25" customHeight="1" x14ac:dyDescent="0.2">
      <c r="A790" s="121" t="s">
        <v>14</v>
      </c>
      <c r="B790" s="430" t="s">
        <v>1051</v>
      </c>
      <c r="C790" s="430"/>
      <c r="D790" s="430"/>
      <c r="E790" s="208"/>
      <c r="F790" s="208"/>
      <c r="G790" s="226"/>
      <c r="H790" s="253"/>
      <c r="I790" s="253"/>
      <c r="J790" s="253"/>
      <c r="K790" s="253"/>
      <c r="L790" s="253"/>
      <c r="M790" s="253"/>
      <c r="N790" s="253"/>
      <c r="O790" s="253"/>
      <c r="P790" s="253"/>
      <c r="Q790" s="253"/>
      <c r="R790" s="253"/>
      <c r="S790" s="253"/>
      <c r="EH790" s="3"/>
      <c r="GS790" s="3"/>
    </row>
    <row r="791" spans="1:256" s="2" customFormat="1" ht="15.75" x14ac:dyDescent="0.2">
      <c r="A791" s="126" t="s">
        <v>200</v>
      </c>
      <c r="B791" s="381" t="s">
        <v>1052</v>
      </c>
      <c r="C791" s="122" t="s">
        <v>1053</v>
      </c>
      <c r="D791" s="389">
        <f>225.47</f>
        <v>225.47</v>
      </c>
      <c r="E791" s="96"/>
      <c r="F791" s="154">
        <f t="shared" ref="F791:F796" si="44">D791+E791</f>
        <v>225.47</v>
      </c>
      <c r="G791" s="226"/>
      <c r="H791" s="253"/>
      <c r="I791" s="253"/>
      <c r="J791" s="253"/>
      <c r="K791" s="253"/>
      <c r="L791" s="253"/>
      <c r="M791" s="253"/>
      <c r="N791" s="253"/>
      <c r="O791" s="253"/>
      <c r="P791" s="253"/>
      <c r="Q791" s="253"/>
      <c r="R791" s="253"/>
      <c r="S791" s="253"/>
      <c r="EH791" s="3" t="s">
        <v>1054</v>
      </c>
      <c r="GS791" s="3"/>
    </row>
    <row r="792" spans="1:256" s="2" customFormat="1" ht="15.75" hidden="1" x14ac:dyDescent="0.2">
      <c r="A792" s="126" t="s">
        <v>1055</v>
      </c>
      <c r="B792" s="381" t="s">
        <v>1056</v>
      </c>
      <c r="C792" s="122" t="s">
        <v>1057</v>
      </c>
      <c r="D792" s="389">
        <f>264.49</f>
        <v>264.49</v>
      </c>
      <c r="E792" s="96"/>
      <c r="F792" s="154">
        <f t="shared" si="44"/>
        <v>264.49</v>
      </c>
      <c r="G792" s="226"/>
      <c r="H792" s="253"/>
      <c r="I792" s="253"/>
      <c r="J792" s="253"/>
      <c r="K792" s="253"/>
      <c r="L792" s="253"/>
      <c r="M792" s="253"/>
      <c r="N792" s="253"/>
      <c r="O792" s="253"/>
      <c r="P792" s="253"/>
      <c r="Q792" s="253"/>
      <c r="R792" s="253"/>
      <c r="S792" s="253"/>
      <c r="EH792" s="3"/>
      <c r="GS792" s="3"/>
      <c r="HM792" s="2">
        <v>312.10000000000002</v>
      </c>
      <c r="IT792" s="2">
        <f>HM792/1.18</f>
        <v>264.491525423729</v>
      </c>
      <c r="IU792" s="301">
        <f>147.54*1.04</f>
        <v>153.44</v>
      </c>
      <c r="IV792" s="312">
        <f>153.44*1.045</f>
        <v>160.34</v>
      </c>
    </row>
    <row r="793" spans="1:256" s="2" customFormat="1" ht="15.75" hidden="1" x14ac:dyDescent="0.2">
      <c r="A793" s="126" t="s">
        <v>1058</v>
      </c>
      <c r="B793" s="381" t="s">
        <v>1059</v>
      </c>
      <c r="C793" s="122" t="s">
        <v>1053</v>
      </c>
      <c r="D793" s="389">
        <f>110.79</f>
        <v>110.79</v>
      </c>
      <c r="E793" s="96"/>
      <c r="F793" s="154">
        <f t="shared" si="44"/>
        <v>110.79</v>
      </c>
      <c r="G793" s="226"/>
      <c r="H793" s="253"/>
      <c r="I793" s="253"/>
      <c r="J793" s="253"/>
      <c r="K793" s="253"/>
      <c r="L793" s="253"/>
      <c r="M793" s="253"/>
      <c r="N793" s="253"/>
      <c r="O793" s="253"/>
      <c r="P793" s="253"/>
      <c r="Q793" s="253"/>
      <c r="R793" s="253"/>
      <c r="S793" s="253"/>
      <c r="EH793" s="3"/>
      <c r="GS793" s="3"/>
      <c r="IU793" s="301">
        <f>101.94*1.04</f>
        <v>106.02</v>
      </c>
      <c r="IV793" s="312">
        <f>106.02*1.045</f>
        <v>110.79</v>
      </c>
    </row>
    <row r="794" spans="1:256" s="2" customFormat="1" ht="15.75" x14ac:dyDescent="0.2">
      <c r="A794" s="126" t="s">
        <v>204</v>
      </c>
      <c r="B794" s="381" t="s">
        <v>1060</v>
      </c>
      <c r="C794" s="122" t="s">
        <v>1053</v>
      </c>
      <c r="D794" s="389">
        <f>319.62</f>
        <v>319.62</v>
      </c>
      <c r="E794" s="96"/>
      <c r="F794" s="154">
        <f>D794+E794</f>
        <v>319.62</v>
      </c>
      <c r="G794" s="226"/>
      <c r="H794" s="253"/>
      <c r="I794" s="253"/>
      <c r="J794" s="253"/>
      <c r="K794" s="253"/>
      <c r="L794" s="253"/>
      <c r="M794" s="253"/>
      <c r="N794" s="253"/>
      <c r="O794" s="253"/>
      <c r="P794" s="253"/>
      <c r="Q794" s="253"/>
      <c r="R794" s="253"/>
      <c r="S794" s="253"/>
      <c r="EH794" s="3"/>
      <c r="GS794" s="3"/>
    </row>
    <row r="795" spans="1:256" s="2" customFormat="1" ht="15.75" hidden="1" x14ac:dyDescent="0.2">
      <c r="A795" s="126" t="s">
        <v>1061</v>
      </c>
      <c r="B795" s="381" t="s">
        <v>1050</v>
      </c>
      <c r="C795" s="122" t="s">
        <v>1053</v>
      </c>
      <c r="D795" s="389">
        <f>116.61</f>
        <v>116.61</v>
      </c>
      <c r="E795" s="96"/>
      <c r="F795" s="154">
        <f>D795+E795</f>
        <v>116.61</v>
      </c>
      <c r="G795" s="226"/>
      <c r="H795" s="253"/>
      <c r="I795" s="253"/>
      <c r="J795" s="253"/>
      <c r="K795" s="253"/>
      <c r="L795" s="253"/>
      <c r="M795" s="253"/>
      <c r="N795" s="253"/>
      <c r="O795" s="253"/>
      <c r="P795" s="253"/>
      <c r="Q795" s="253"/>
      <c r="R795" s="253"/>
      <c r="S795" s="253"/>
      <c r="EH795" s="3"/>
      <c r="GS795" s="3"/>
      <c r="HM795" s="2">
        <v>137.6</v>
      </c>
      <c r="IT795" s="2">
        <f>HM795/1.18</f>
        <v>116.610169491525</v>
      </c>
      <c r="IU795" s="301">
        <f>55.09*1.04</f>
        <v>57.29</v>
      </c>
      <c r="IV795" s="312">
        <f>57.29*1.045</f>
        <v>59.87</v>
      </c>
    </row>
    <row r="796" spans="1:256" s="2" customFormat="1" ht="15.75" hidden="1" x14ac:dyDescent="0.2">
      <c r="A796" s="126" t="s">
        <v>1062</v>
      </c>
      <c r="B796" s="381" t="s">
        <v>1063</v>
      </c>
      <c r="C796" s="122" t="s">
        <v>1064</v>
      </c>
      <c r="D796" s="389">
        <f>132.63</f>
        <v>132.63</v>
      </c>
      <c r="E796" s="96"/>
      <c r="F796" s="154">
        <f t="shared" si="44"/>
        <v>132.63</v>
      </c>
      <c r="G796" s="226"/>
      <c r="H796" s="253"/>
      <c r="I796" s="253"/>
      <c r="J796" s="253"/>
      <c r="K796" s="253"/>
      <c r="L796" s="253"/>
      <c r="M796" s="253"/>
      <c r="N796" s="253"/>
      <c r="O796" s="253"/>
      <c r="P796" s="253"/>
      <c r="Q796" s="253"/>
      <c r="R796" s="253"/>
      <c r="S796" s="253"/>
      <c r="EH796" s="3"/>
      <c r="GS796" s="3"/>
      <c r="IU796" s="301">
        <f>122.04*1.04</f>
        <v>126.92</v>
      </c>
      <c r="IV796" s="312">
        <f>126.92*1.045</f>
        <v>132.63</v>
      </c>
    </row>
    <row r="797" spans="1:256" s="2" customFormat="1" ht="52.5" customHeight="1" x14ac:dyDescent="0.2">
      <c r="A797" s="121" t="s">
        <v>26</v>
      </c>
      <c r="B797" s="127" t="s">
        <v>1065</v>
      </c>
      <c r="C797" s="122" t="s">
        <v>1053</v>
      </c>
      <c r="D797" s="389">
        <f>215.49</f>
        <v>215.49</v>
      </c>
      <c r="E797" s="96"/>
      <c r="F797" s="154">
        <f>D797+E797</f>
        <v>215.49</v>
      </c>
      <c r="G797" s="226"/>
      <c r="H797" s="253"/>
      <c r="I797" s="253"/>
      <c r="J797" s="253"/>
      <c r="K797" s="253"/>
      <c r="L797" s="253"/>
      <c r="M797" s="253"/>
      <c r="N797" s="253"/>
      <c r="O797" s="253"/>
      <c r="P797" s="253"/>
      <c r="Q797" s="253"/>
      <c r="R797" s="253"/>
      <c r="S797" s="253"/>
      <c r="EH797" s="3"/>
      <c r="GS797" s="3"/>
    </row>
    <row r="798" spans="1:256" s="2" customFormat="1" ht="19.5" customHeight="1" x14ac:dyDescent="0.2">
      <c r="A798" s="121" t="s">
        <v>29</v>
      </c>
      <c r="B798" s="430" t="s">
        <v>1066</v>
      </c>
      <c r="C798" s="430"/>
      <c r="D798" s="430"/>
      <c r="E798" s="208"/>
      <c r="F798" s="208"/>
      <c r="G798" s="226"/>
      <c r="H798" s="253"/>
      <c r="I798" s="253"/>
      <c r="J798" s="253"/>
      <c r="K798" s="253"/>
      <c r="L798" s="253"/>
      <c r="M798" s="253"/>
      <c r="N798" s="253"/>
      <c r="O798" s="253"/>
      <c r="P798" s="253"/>
      <c r="Q798" s="253"/>
      <c r="R798" s="253"/>
      <c r="S798" s="253"/>
      <c r="EH798" s="3"/>
      <c r="GS798" s="3"/>
    </row>
    <row r="799" spans="1:256" s="2" customFormat="1" ht="15.75" x14ac:dyDescent="0.25">
      <c r="A799" s="126" t="s">
        <v>578</v>
      </c>
      <c r="B799" s="125" t="s">
        <v>1067</v>
      </c>
      <c r="C799" s="122" t="s">
        <v>1053</v>
      </c>
      <c r="D799" s="389">
        <f>52.38</f>
        <v>52.38</v>
      </c>
      <c r="E799" s="96"/>
      <c r="F799" s="154">
        <f>D799+E799</f>
        <v>52.38</v>
      </c>
      <c r="G799" s="226"/>
      <c r="H799" s="253"/>
      <c r="I799" s="253"/>
      <c r="J799" s="253"/>
      <c r="K799" s="253"/>
      <c r="L799" s="253"/>
      <c r="M799" s="253"/>
      <c r="N799" s="253"/>
      <c r="O799" s="253"/>
      <c r="P799" s="253"/>
      <c r="Q799" s="253"/>
      <c r="R799" s="253"/>
      <c r="S799" s="253"/>
      <c r="EH799" s="3"/>
      <c r="GS799" s="3"/>
      <c r="IU799" s="301">
        <f>48.19*1.04</f>
        <v>50.12</v>
      </c>
      <c r="IV799" s="312">
        <f>50.12*1.045</f>
        <v>52.38</v>
      </c>
    </row>
    <row r="800" spans="1:256" s="2" customFormat="1" ht="15.75" hidden="1" x14ac:dyDescent="0.25">
      <c r="A800" s="126" t="s">
        <v>1068</v>
      </c>
      <c r="B800" s="125" t="s">
        <v>1050</v>
      </c>
      <c r="C800" s="122" t="s">
        <v>1053</v>
      </c>
      <c r="D800" s="389">
        <f>138.07</f>
        <v>138.07</v>
      </c>
      <c r="E800" s="96"/>
      <c r="F800" s="154">
        <f>D800+E800</f>
        <v>138.07</v>
      </c>
      <c r="G800" s="226"/>
      <c r="H800" s="253"/>
      <c r="I800" s="253"/>
      <c r="J800" s="253"/>
      <c r="K800" s="253"/>
      <c r="L800" s="253"/>
      <c r="M800" s="253"/>
      <c r="N800" s="253"/>
      <c r="O800" s="253"/>
      <c r="P800" s="253"/>
      <c r="Q800" s="253"/>
      <c r="R800" s="253"/>
      <c r="S800" s="253"/>
      <c r="EH800" s="3"/>
      <c r="GS800" s="3"/>
      <c r="IU800" s="301">
        <f>127.04*1.04</f>
        <v>132.12</v>
      </c>
      <c r="IV800" s="312">
        <f>132.12*1.045</f>
        <v>138.07</v>
      </c>
    </row>
    <row r="801" spans="1:256" s="2" customFormat="1" ht="15.75" hidden="1" x14ac:dyDescent="0.2">
      <c r="A801" s="126" t="s">
        <v>1069</v>
      </c>
      <c r="B801" s="381" t="s">
        <v>1063</v>
      </c>
      <c r="C801" s="122" t="s">
        <v>1053</v>
      </c>
      <c r="D801" s="389">
        <f>124.62</f>
        <v>124.62</v>
      </c>
      <c r="E801" s="96"/>
      <c r="F801" s="154">
        <f>D801+E801</f>
        <v>124.62</v>
      </c>
      <c r="G801" s="226"/>
      <c r="H801" s="253"/>
      <c r="I801" s="253"/>
      <c r="J801" s="253"/>
      <c r="K801" s="253"/>
      <c r="L801" s="253"/>
      <c r="M801" s="253"/>
      <c r="N801" s="253"/>
      <c r="O801" s="253"/>
      <c r="P801" s="253"/>
      <c r="Q801" s="253"/>
      <c r="R801" s="253"/>
      <c r="S801" s="253"/>
      <c r="EH801" s="3"/>
      <c r="GS801" s="3"/>
      <c r="IU801" s="301">
        <f>114.66*1.04</f>
        <v>119.25</v>
      </c>
      <c r="IV801" s="312">
        <f>119.25*1.045</f>
        <v>124.62</v>
      </c>
    </row>
    <row r="802" spans="1:256" s="2" customFormat="1" ht="31.5" x14ac:dyDescent="0.25">
      <c r="A802" s="121" t="s">
        <v>31</v>
      </c>
      <c r="B802" s="128" t="s">
        <v>1070</v>
      </c>
      <c r="C802" s="122" t="s">
        <v>1053</v>
      </c>
      <c r="D802" s="389">
        <f>129.21</f>
        <v>129.21</v>
      </c>
      <c r="E802" s="96"/>
      <c r="F802" s="154">
        <f>D802+E802</f>
        <v>129.21</v>
      </c>
      <c r="G802" s="226"/>
      <c r="H802" s="253"/>
      <c r="I802" s="253"/>
      <c r="J802" s="253"/>
      <c r="K802" s="253"/>
      <c r="L802" s="253"/>
      <c r="M802" s="253"/>
      <c r="N802" s="253"/>
      <c r="O802" s="253"/>
      <c r="P802" s="253"/>
      <c r="Q802" s="253"/>
      <c r="R802" s="253"/>
      <c r="S802" s="253"/>
      <c r="EH802" s="3" t="s">
        <v>1054</v>
      </c>
      <c r="GS802" s="3"/>
    </row>
    <row r="803" spans="1:256" s="2" customFormat="1" ht="15.75" hidden="1" x14ac:dyDescent="0.2">
      <c r="A803" s="121" t="s">
        <v>1811</v>
      </c>
      <c r="B803" s="430" t="s">
        <v>1072</v>
      </c>
      <c r="C803" s="430"/>
      <c r="D803" s="430"/>
      <c r="E803" s="208"/>
      <c r="F803" s="208"/>
      <c r="G803" s="226"/>
      <c r="H803" s="253"/>
      <c r="I803" s="253"/>
      <c r="J803" s="253"/>
      <c r="K803" s="253"/>
      <c r="L803" s="253"/>
      <c r="M803" s="253"/>
      <c r="N803" s="253"/>
      <c r="O803" s="253"/>
      <c r="P803" s="253"/>
      <c r="Q803" s="253"/>
      <c r="R803" s="253"/>
      <c r="S803" s="253"/>
      <c r="EH803" s="3"/>
      <c r="GS803" s="3"/>
    </row>
    <row r="804" spans="1:256" s="2" customFormat="1" ht="15.75" hidden="1" x14ac:dyDescent="0.25">
      <c r="A804" s="121" t="s">
        <v>1812</v>
      </c>
      <c r="B804" s="125" t="s">
        <v>1040</v>
      </c>
      <c r="C804" s="122" t="s">
        <v>1053</v>
      </c>
      <c r="D804" s="389">
        <f>15.14</f>
        <v>15.14</v>
      </c>
      <c r="E804" s="96"/>
      <c r="F804" s="154">
        <f>D804+E804</f>
        <v>15.14</v>
      </c>
      <c r="G804" s="226"/>
      <c r="H804" s="253"/>
      <c r="I804" s="253"/>
      <c r="J804" s="253"/>
      <c r="K804" s="253"/>
      <c r="L804" s="253"/>
      <c r="M804" s="253"/>
      <c r="N804" s="253"/>
      <c r="O804" s="253"/>
      <c r="P804" s="253"/>
      <c r="Q804" s="253"/>
      <c r="R804" s="253"/>
      <c r="S804" s="253"/>
      <c r="EH804" s="3"/>
      <c r="GS804" s="3"/>
      <c r="IU804" s="301">
        <f>13.93*1.04</f>
        <v>14.49</v>
      </c>
      <c r="IV804" s="312">
        <f>14.49*1.045</f>
        <v>15.14</v>
      </c>
    </row>
    <row r="805" spans="1:256" s="2" customFormat="1" ht="15.75" hidden="1" x14ac:dyDescent="0.25">
      <c r="A805" s="121" t="s">
        <v>1812</v>
      </c>
      <c r="B805" s="125" t="s">
        <v>1073</v>
      </c>
      <c r="C805" s="122" t="s">
        <v>1053</v>
      </c>
      <c r="D805" s="389">
        <f>29.44</f>
        <v>29.44</v>
      </c>
      <c r="E805" s="96"/>
      <c r="F805" s="154">
        <f>D805+E805</f>
        <v>29.44</v>
      </c>
      <c r="G805" s="226"/>
      <c r="H805" s="253"/>
      <c r="I805" s="253"/>
      <c r="J805" s="253"/>
      <c r="K805" s="253"/>
      <c r="L805" s="253"/>
      <c r="M805" s="253"/>
      <c r="N805" s="253"/>
      <c r="O805" s="253"/>
      <c r="P805" s="253"/>
      <c r="Q805" s="253"/>
      <c r="R805" s="253"/>
      <c r="S805" s="253"/>
      <c r="EH805" s="3"/>
      <c r="GS805" s="3"/>
      <c r="IU805" s="301">
        <f>27.09*1.04</f>
        <v>28.17</v>
      </c>
      <c r="IV805" s="312">
        <f>28.17*1.045</f>
        <v>29.44</v>
      </c>
    </row>
    <row r="806" spans="1:256" s="2" customFormat="1" ht="15.75" hidden="1" x14ac:dyDescent="0.25">
      <c r="A806" s="121" t="s">
        <v>1812</v>
      </c>
      <c r="B806" s="125" t="s">
        <v>1050</v>
      </c>
      <c r="C806" s="122" t="s">
        <v>1053</v>
      </c>
      <c r="D806" s="389">
        <f>30.04</f>
        <v>30.04</v>
      </c>
      <c r="E806" s="96"/>
      <c r="F806" s="154">
        <f>D806+E806</f>
        <v>30.04</v>
      </c>
      <c r="G806" s="226"/>
      <c r="H806" s="253"/>
      <c r="I806" s="253"/>
      <c r="J806" s="253"/>
      <c r="K806" s="253"/>
      <c r="L806" s="253"/>
      <c r="M806" s="253"/>
      <c r="N806" s="253"/>
      <c r="O806" s="253"/>
      <c r="P806" s="253"/>
      <c r="Q806" s="253"/>
      <c r="R806" s="253"/>
      <c r="S806" s="253"/>
      <c r="EH806" s="3"/>
      <c r="GS806" s="3"/>
      <c r="IU806" s="301">
        <f>27.64*1.04</f>
        <v>28.75</v>
      </c>
      <c r="IV806" s="312">
        <f>28.75*1.045</f>
        <v>30.04</v>
      </c>
    </row>
    <row r="807" spans="1:256" s="2" customFormat="1" ht="15.75" customHeight="1" x14ac:dyDescent="0.2">
      <c r="A807" s="121" t="s">
        <v>33</v>
      </c>
      <c r="B807" s="430" t="s">
        <v>1075</v>
      </c>
      <c r="C807" s="430"/>
      <c r="D807" s="430"/>
      <c r="E807" s="208"/>
      <c r="F807" s="208"/>
      <c r="G807" s="226"/>
      <c r="H807" s="253"/>
      <c r="I807" s="253"/>
      <c r="J807" s="253"/>
      <c r="K807" s="253"/>
      <c r="L807" s="253"/>
      <c r="M807" s="253"/>
      <c r="N807" s="253"/>
      <c r="O807" s="253"/>
      <c r="P807" s="253"/>
      <c r="Q807" s="253"/>
      <c r="R807" s="253"/>
      <c r="S807" s="253"/>
      <c r="EH807" s="3"/>
      <c r="GS807" s="3"/>
    </row>
    <row r="808" spans="1:256" s="2" customFormat="1" ht="15.75" hidden="1" x14ac:dyDescent="0.25">
      <c r="A808" s="121" t="s">
        <v>1813</v>
      </c>
      <c r="B808" s="125" t="s">
        <v>1076</v>
      </c>
      <c r="C808" s="122" t="s">
        <v>1053</v>
      </c>
      <c r="D808" s="389">
        <f>601.87</f>
        <v>601.87</v>
      </c>
      <c r="E808" s="96"/>
      <c r="F808" s="154">
        <f>D808+E808</f>
        <v>601.87</v>
      </c>
      <c r="G808" s="226"/>
      <c r="H808" s="253"/>
      <c r="I808" s="253"/>
      <c r="J808" s="253"/>
      <c r="K808" s="253"/>
      <c r="L808" s="253"/>
      <c r="M808" s="253"/>
      <c r="N808" s="253"/>
      <c r="O808" s="253"/>
      <c r="P808" s="253"/>
      <c r="Q808" s="253"/>
      <c r="R808" s="253"/>
      <c r="S808" s="253"/>
      <c r="EH808" s="3"/>
      <c r="GS808" s="3"/>
      <c r="HM808" s="2">
        <v>710.2</v>
      </c>
      <c r="IT808" s="2">
        <f>HM808/1.18</f>
        <v>601.86440677966095</v>
      </c>
      <c r="IU808" s="301">
        <v>292.87</v>
      </c>
      <c r="IV808" s="312">
        <f>292.87*1.045</f>
        <v>306.05</v>
      </c>
    </row>
    <row r="809" spans="1:256" s="2" customFormat="1" ht="15.75" x14ac:dyDescent="0.25">
      <c r="A809" s="126" t="s">
        <v>639</v>
      </c>
      <c r="B809" s="125" t="s">
        <v>1077</v>
      </c>
      <c r="C809" s="122" t="s">
        <v>1053</v>
      </c>
      <c r="D809" s="389">
        <f>528.3</f>
        <v>528.29999999999995</v>
      </c>
      <c r="E809" s="96"/>
      <c r="F809" s="154">
        <f>D809+E809</f>
        <v>528.29999999999995</v>
      </c>
      <c r="G809" s="226"/>
      <c r="H809" s="253"/>
      <c r="I809" s="253"/>
      <c r="J809" s="253"/>
      <c r="K809" s="253"/>
      <c r="L809" s="253"/>
      <c r="M809" s="253"/>
      <c r="N809" s="253"/>
      <c r="O809" s="253"/>
      <c r="P809" s="253"/>
      <c r="Q809" s="253"/>
      <c r="R809" s="253"/>
      <c r="S809" s="253"/>
      <c r="EH809" s="3" t="s">
        <v>1054</v>
      </c>
      <c r="GS809" s="3"/>
    </row>
    <row r="810" spans="1:256" s="2" customFormat="1" ht="15.75" hidden="1" x14ac:dyDescent="0.25">
      <c r="A810" s="126" t="s">
        <v>1074</v>
      </c>
      <c r="B810" s="125" t="s">
        <v>1078</v>
      </c>
      <c r="C810" s="122" t="s">
        <v>1053</v>
      </c>
      <c r="D810" s="389">
        <f>482.61</f>
        <v>482.61</v>
      </c>
      <c r="E810" s="96"/>
      <c r="F810" s="154">
        <f>D810+E810</f>
        <v>482.61</v>
      </c>
      <c r="G810" s="226"/>
      <c r="H810" s="253"/>
      <c r="I810" s="253"/>
      <c r="J810" s="253"/>
      <c r="K810" s="253"/>
      <c r="L810" s="253"/>
      <c r="M810" s="253"/>
      <c r="N810" s="253"/>
      <c r="O810" s="253"/>
      <c r="P810" s="253"/>
      <c r="Q810" s="253"/>
      <c r="R810" s="253"/>
      <c r="S810" s="253"/>
      <c r="EH810" s="3"/>
      <c r="GS810" s="3"/>
      <c r="IU810" s="301">
        <f>444.07*1.04</f>
        <v>461.83</v>
      </c>
      <c r="IV810" s="312">
        <f>461.83*1.045</f>
        <v>482.61</v>
      </c>
    </row>
    <row r="811" spans="1:256" s="2" customFormat="1" ht="17.25" customHeight="1" x14ac:dyDescent="0.2">
      <c r="A811" s="132" t="s">
        <v>35</v>
      </c>
      <c r="B811" s="451" t="s">
        <v>2268</v>
      </c>
      <c r="C811" s="451"/>
      <c r="D811" s="451"/>
      <c r="E811" s="224"/>
      <c r="F811" s="208"/>
      <c r="G811" s="226"/>
      <c r="H811" s="253"/>
      <c r="I811" s="253"/>
      <c r="J811" s="253"/>
      <c r="K811" s="253"/>
      <c r="L811" s="253"/>
      <c r="M811" s="253"/>
      <c r="N811" s="253"/>
      <c r="O811" s="253"/>
      <c r="P811" s="253"/>
      <c r="Q811" s="253"/>
      <c r="R811" s="253"/>
      <c r="S811" s="253"/>
      <c r="EH811" s="3"/>
      <c r="GS811" s="3"/>
    </row>
    <row r="812" spans="1:256" s="2" customFormat="1" ht="15.75" x14ac:dyDescent="0.25">
      <c r="A812" s="126" t="s">
        <v>259</v>
      </c>
      <c r="B812" s="125" t="s">
        <v>1079</v>
      </c>
      <c r="C812" s="122" t="s">
        <v>1053</v>
      </c>
      <c r="D812" s="389">
        <f>32.65</f>
        <v>32.65</v>
      </c>
      <c r="E812" s="96"/>
      <c r="F812" s="154">
        <f>D812+E812</f>
        <v>32.65</v>
      </c>
      <c r="G812" s="226"/>
      <c r="H812" s="253"/>
      <c r="I812" s="253"/>
      <c r="J812" s="253"/>
      <c r="K812" s="253"/>
      <c r="L812" s="253"/>
      <c r="M812" s="253"/>
      <c r="N812" s="253"/>
      <c r="O812" s="253"/>
      <c r="P812" s="253"/>
      <c r="Q812" s="253"/>
      <c r="R812" s="253"/>
      <c r="S812" s="253"/>
      <c r="EH812" s="3" t="s">
        <v>1054</v>
      </c>
      <c r="GS812" s="3"/>
      <c r="HM812" s="2">
        <v>38.53</v>
      </c>
      <c r="IT812" s="305">
        <f>HM812/1.18</f>
        <v>32.65</v>
      </c>
      <c r="IU812" s="301">
        <f>15.91*1.04</f>
        <v>16.55</v>
      </c>
      <c r="IV812" s="312">
        <f>16.55*1.045</f>
        <v>17.29</v>
      </c>
    </row>
    <row r="813" spans="1:256" s="2" customFormat="1" ht="15.75" hidden="1" x14ac:dyDescent="0.25">
      <c r="A813" s="126" t="s">
        <v>1854</v>
      </c>
      <c r="B813" s="125" t="s">
        <v>1080</v>
      </c>
      <c r="C813" s="122" t="s">
        <v>1053</v>
      </c>
      <c r="D813" s="389">
        <f>34.05</f>
        <v>34.049999999999997</v>
      </c>
      <c r="E813" s="96"/>
      <c r="F813" s="154">
        <f>D813+E813</f>
        <v>34.049999999999997</v>
      </c>
      <c r="G813" s="226"/>
      <c r="H813" s="253"/>
      <c r="I813" s="253"/>
      <c r="J813" s="253"/>
      <c r="K813" s="253"/>
      <c r="L813" s="253"/>
      <c r="M813" s="253"/>
      <c r="N813" s="253"/>
      <c r="O813" s="253"/>
      <c r="P813" s="253"/>
      <c r="Q813" s="253"/>
      <c r="R813" s="253"/>
      <c r="S813" s="253"/>
      <c r="EH813" s="3"/>
      <c r="GS813" s="3"/>
      <c r="HM813" s="2">
        <v>40.18</v>
      </c>
      <c r="IT813" s="305">
        <f>HM813/1.18</f>
        <v>34.049999999999997</v>
      </c>
      <c r="IU813" s="301">
        <f>3.4*1.04</f>
        <v>3.54</v>
      </c>
      <c r="IV813" s="312">
        <f>3.54*1.045</f>
        <v>3.7</v>
      </c>
    </row>
    <row r="814" spans="1:256" s="2" customFormat="1" ht="15.75" hidden="1" x14ac:dyDescent="0.25">
      <c r="A814" s="126" t="s">
        <v>1854</v>
      </c>
      <c r="B814" s="125" t="s">
        <v>1081</v>
      </c>
      <c r="C814" s="122" t="s">
        <v>1053</v>
      </c>
      <c r="D814" s="389">
        <f>173.23</f>
        <v>173.23</v>
      </c>
      <c r="E814" s="96"/>
      <c r="F814" s="154">
        <f t="shared" ref="F814:F820" si="45">D814+E814</f>
        <v>173.23</v>
      </c>
      <c r="G814" s="226"/>
      <c r="H814" s="253"/>
      <c r="I814" s="253"/>
      <c r="J814" s="253"/>
      <c r="K814" s="253"/>
      <c r="L814" s="253"/>
      <c r="M814" s="253"/>
      <c r="N814" s="253"/>
      <c r="O814" s="253"/>
      <c r="P814" s="253"/>
      <c r="Q814" s="253"/>
      <c r="R814" s="253"/>
      <c r="S814" s="253"/>
      <c r="EH814" s="3"/>
      <c r="GS814" s="3"/>
      <c r="HM814" s="2">
        <v>204.41</v>
      </c>
      <c r="IT814" s="305">
        <f>HM814/1.18</f>
        <v>173.23</v>
      </c>
      <c r="IU814" s="301">
        <f>85.08*1.04</f>
        <v>88.48</v>
      </c>
      <c r="IV814" s="312">
        <f>88.48*1.045</f>
        <v>92.46</v>
      </c>
    </row>
    <row r="815" spans="1:256" s="2" customFormat="1" ht="15.75" hidden="1" x14ac:dyDescent="0.25">
      <c r="A815" s="126" t="s">
        <v>1854</v>
      </c>
      <c r="B815" s="125" t="s">
        <v>1082</v>
      </c>
      <c r="C815" s="122" t="s">
        <v>1053</v>
      </c>
      <c r="D815" s="389">
        <f>127.2</f>
        <v>127.2</v>
      </c>
      <c r="E815" s="96"/>
      <c r="F815" s="154">
        <f>D815+E815</f>
        <v>127.2</v>
      </c>
      <c r="G815" s="226"/>
      <c r="H815" s="253"/>
      <c r="I815" s="253"/>
      <c r="J815" s="253"/>
      <c r="K815" s="253"/>
      <c r="L815" s="253"/>
      <c r="M815" s="253"/>
      <c r="N815" s="253"/>
      <c r="O815" s="253"/>
      <c r="P815" s="253"/>
      <c r="Q815" s="253"/>
      <c r="R815" s="253"/>
      <c r="S815" s="253"/>
      <c r="EH815" s="3"/>
      <c r="GS815" s="3"/>
      <c r="HM815" s="2">
        <v>150.1</v>
      </c>
      <c r="IT815" s="305">
        <f>HM815/1.18</f>
        <v>127.2</v>
      </c>
      <c r="IU815" s="301">
        <f>13.93*1.04</f>
        <v>14.49</v>
      </c>
      <c r="IV815" s="312">
        <f>14.49*1.045</f>
        <v>15.14</v>
      </c>
    </row>
    <row r="816" spans="1:256" s="2" customFormat="1" ht="15.75" x14ac:dyDescent="0.2">
      <c r="A816" s="126" t="s">
        <v>261</v>
      </c>
      <c r="B816" s="381" t="s">
        <v>1083</v>
      </c>
      <c r="C816" s="122" t="s">
        <v>1053</v>
      </c>
      <c r="D816" s="389">
        <f>241.42</f>
        <v>241.42</v>
      </c>
      <c r="E816" s="96"/>
      <c r="F816" s="154">
        <f t="shared" si="45"/>
        <v>241.42</v>
      </c>
      <c r="G816" s="226"/>
      <c r="H816" s="253"/>
      <c r="I816" s="253"/>
      <c r="J816" s="253"/>
      <c r="K816" s="253"/>
      <c r="L816" s="253"/>
      <c r="M816" s="253"/>
      <c r="N816" s="253"/>
      <c r="O816" s="253"/>
      <c r="P816" s="253"/>
      <c r="Q816" s="253"/>
      <c r="R816" s="253"/>
      <c r="S816" s="253"/>
      <c r="EH816" s="3" t="s">
        <v>1054</v>
      </c>
      <c r="GS816" s="3"/>
    </row>
    <row r="817" spans="1:256" s="2" customFormat="1" ht="31.5" hidden="1" x14ac:dyDescent="0.25">
      <c r="A817" s="126" t="s">
        <v>1854</v>
      </c>
      <c r="B817" s="125" t="s">
        <v>1084</v>
      </c>
      <c r="C817" s="122" t="s">
        <v>1053</v>
      </c>
      <c r="D817" s="389">
        <f>159.66</f>
        <v>159.66</v>
      </c>
      <c r="E817" s="96"/>
      <c r="F817" s="154">
        <f t="shared" si="45"/>
        <v>159.66</v>
      </c>
      <c r="G817" s="226"/>
      <c r="H817" s="253"/>
      <c r="I817" s="253"/>
      <c r="J817" s="253"/>
      <c r="K817" s="253"/>
      <c r="L817" s="253"/>
      <c r="M817" s="253"/>
      <c r="N817" s="253"/>
      <c r="O817" s="253"/>
      <c r="P817" s="253"/>
      <c r="Q817" s="253"/>
      <c r="R817" s="253"/>
      <c r="S817" s="253"/>
      <c r="EH817" s="3"/>
      <c r="GS817" s="3"/>
      <c r="HM817" s="2">
        <v>188.4</v>
      </c>
      <c r="IT817" s="304">
        <f>HM817/1.18</f>
        <v>159.66</v>
      </c>
      <c r="IU817" s="301">
        <f>89.96*1.04</f>
        <v>93.56</v>
      </c>
      <c r="IV817" s="312">
        <f>93.56*1.045</f>
        <v>97.77</v>
      </c>
    </row>
    <row r="818" spans="1:256" s="2" customFormat="1" ht="15.75" x14ac:dyDescent="0.25">
      <c r="A818" s="126" t="s">
        <v>652</v>
      </c>
      <c r="B818" s="125" t="s">
        <v>1085</v>
      </c>
      <c r="C818" s="122" t="s">
        <v>1053</v>
      </c>
      <c r="D818" s="389">
        <f>115.44</f>
        <v>115.44</v>
      </c>
      <c r="E818" s="96"/>
      <c r="F818" s="154">
        <f t="shared" si="45"/>
        <v>115.44</v>
      </c>
      <c r="G818" s="226"/>
      <c r="H818" s="253"/>
      <c r="I818" s="253"/>
      <c r="J818" s="253"/>
      <c r="K818" s="253"/>
      <c r="L818" s="253"/>
      <c r="M818" s="253"/>
      <c r="N818" s="253"/>
      <c r="O818" s="253"/>
      <c r="P818" s="253"/>
      <c r="Q818" s="253"/>
      <c r="R818" s="253"/>
      <c r="S818" s="253"/>
      <c r="EH818" s="3"/>
      <c r="GS818" s="3"/>
    </row>
    <row r="819" spans="1:256" s="2" customFormat="1" ht="15.75" hidden="1" x14ac:dyDescent="0.25">
      <c r="A819" s="126" t="s">
        <v>1854</v>
      </c>
      <c r="B819" s="125" t="s">
        <v>1086</v>
      </c>
      <c r="C819" s="122" t="s">
        <v>1053</v>
      </c>
      <c r="D819" s="389">
        <f>45.87</f>
        <v>45.87</v>
      </c>
      <c r="E819" s="96"/>
      <c r="F819" s="154">
        <f>D819+E819</f>
        <v>45.87</v>
      </c>
      <c r="G819" s="226"/>
      <c r="H819" s="253"/>
      <c r="I819" s="253"/>
      <c r="J819" s="253"/>
      <c r="K819" s="253"/>
      <c r="L819" s="253"/>
      <c r="M819" s="253"/>
      <c r="N819" s="253"/>
      <c r="O819" s="253"/>
      <c r="P819" s="253"/>
      <c r="Q819" s="253"/>
      <c r="R819" s="253"/>
      <c r="S819" s="253"/>
      <c r="EH819" s="3"/>
      <c r="GS819" s="3"/>
    </row>
    <row r="820" spans="1:256" s="2" customFormat="1" ht="31.5" hidden="1" x14ac:dyDescent="0.25">
      <c r="A820" s="126" t="s">
        <v>1854</v>
      </c>
      <c r="B820" s="125" t="s">
        <v>1087</v>
      </c>
      <c r="C820" s="122" t="s">
        <v>1053</v>
      </c>
      <c r="D820" s="389">
        <f>67.08</f>
        <v>67.08</v>
      </c>
      <c r="E820" s="96"/>
      <c r="F820" s="154">
        <f t="shared" si="45"/>
        <v>67.08</v>
      </c>
      <c r="G820" s="226"/>
      <c r="H820" s="253"/>
      <c r="I820" s="253"/>
      <c r="J820" s="253"/>
      <c r="K820" s="253"/>
      <c r="L820" s="253"/>
      <c r="M820" s="253"/>
      <c r="N820" s="253"/>
      <c r="O820" s="253"/>
      <c r="P820" s="253"/>
      <c r="Q820" s="253"/>
      <c r="R820" s="253"/>
      <c r="S820" s="253"/>
      <c r="EH820" s="3"/>
      <c r="GS820" s="3"/>
      <c r="HM820" s="2">
        <v>79.150000000000006</v>
      </c>
      <c r="IT820" s="2">
        <f>HM820/1.18</f>
        <v>67.076271186440707</v>
      </c>
      <c r="IU820" s="301">
        <f>31.9*1.04</f>
        <v>33.18</v>
      </c>
      <c r="IV820" s="312">
        <f>33.18*1.045</f>
        <v>34.67</v>
      </c>
    </row>
    <row r="821" spans="1:256" s="2" customFormat="1" ht="15.75" x14ac:dyDescent="0.25">
      <c r="A821" s="126" t="s">
        <v>653</v>
      </c>
      <c r="B821" s="125" t="s">
        <v>1088</v>
      </c>
      <c r="C821" s="122" t="s">
        <v>1053</v>
      </c>
      <c r="D821" s="389">
        <f>127.7</f>
        <v>127.7</v>
      </c>
      <c r="E821" s="96"/>
      <c r="F821" s="154">
        <f>D821+E821</f>
        <v>127.7</v>
      </c>
      <c r="G821" s="226"/>
      <c r="H821" s="253"/>
      <c r="I821" s="253"/>
      <c r="J821" s="253"/>
      <c r="K821" s="253"/>
      <c r="L821" s="253"/>
      <c r="M821" s="253"/>
      <c r="N821" s="253"/>
      <c r="O821" s="253"/>
      <c r="P821" s="253"/>
      <c r="Q821" s="253"/>
      <c r="R821" s="253"/>
      <c r="S821" s="253"/>
      <c r="EH821" s="3"/>
      <c r="GS821" s="3"/>
      <c r="HM821" s="2">
        <v>150.69</v>
      </c>
      <c r="IT821" s="2">
        <f>HM821/1.18</f>
        <v>127.703389830508</v>
      </c>
      <c r="IU821" s="301">
        <f>12.79*1.04</f>
        <v>13.3</v>
      </c>
      <c r="IV821" s="312">
        <f>13.3*1.045</f>
        <v>13.9</v>
      </c>
    </row>
    <row r="822" spans="1:256" s="2" customFormat="1" ht="17.25" hidden="1" customHeight="1" x14ac:dyDescent="0.2">
      <c r="A822" s="126" t="s">
        <v>653</v>
      </c>
      <c r="B822" s="430" t="s">
        <v>1089</v>
      </c>
      <c r="C822" s="430"/>
      <c r="D822" s="430"/>
      <c r="E822" s="208"/>
      <c r="F822" s="208"/>
      <c r="G822" s="226"/>
      <c r="H822" s="253"/>
      <c r="I822" s="253"/>
      <c r="J822" s="253"/>
      <c r="K822" s="253"/>
      <c r="L822" s="253"/>
      <c r="M822" s="253"/>
      <c r="N822" s="253"/>
      <c r="O822" s="253"/>
      <c r="P822" s="253"/>
      <c r="Q822" s="253"/>
      <c r="R822" s="253"/>
      <c r="S822" s="253"/>
      <c r="EH822" s="3"/>
      <c r="GS822" s="3"/>
    </row>
    <row r="823" spans="1:256" s="2" customFormat="1" ht="15.75" hidden="1" x14ac:dyDescent="0.25">
      <c r="A823" s="126" t="s">
        <v>653</v>
      </c>
      <c r="B823" s="125" t="s">
        <v>1090</v>
      </c>
      <c r="C823" s="122" t="s">
        <v>1053</v>
      </c>
      <c r="D823" s="389">
        <f>35</f>
        <v>35</v>
      </c>
      <c r="E823" s="96"/>
      <c r="F823" s="154">
        <f t="shared" ref="F823:F840" si="46">D823+E823</f>
        <v>35</v>
      </c>
      <c r="G823" s="226"/>
      <c r="H823" s="253"/>
      <c r="I823" s="253"/>
      <c r="J823" s="253"/>
      <c r="K823" s="253"/>
      <c r="L823" s="253"/>
      <c r="M823" s="253"/>
      <c r="N823" s="253"/>
      <c r="O823" s="253"/>
      <c r="P823" s="253"/>
      <c r="Q823" s="253"/>
      <c r="R823" s="253"/>
      <c r="S823" s="253"/>
      <c r="EH823" s="3"/>
      <c r="GS823" s="3"/>
      <c r="IU823" s="301">
        <f>32.2*1.04</f>
        <v>33.49</v>
      </c>
      <c r="IV823" s="312">
        <f>33.49*1.045</f>
        <v>35</v>
      </c>
    </row>
    <row r="824" spans="1:256" s="2" customFormat="1" ht="36.75" hidden="1" customHeight="1" x14ac:dyDescent="0.25">
      <c r="A824" s="126" t="s">
        <v>653</v>
      </c>
      <c r="B824" s="125" t="s">
        <v>1091</v>
      </c>
      <c r="C824" s="122" t="s">
        <v>1053</v>
      </c>
      <c r="D824" s="389">
        <f>41.98</f>
        <v>41.98</v>
      </c>
      <c r="E824" s="96"/>
      <c r="F824" s="154">
        <f>D824+E824</f>
        <v>41.98</v>
      </c>
      <c r="G824" s="226"/>
      <c r="H824" s="253"/>
      <c r="I824" s="253"/>
      <c r="J824" s="253"/>
      <c r="K824" s="253"/>
      <c r="L824" s="253"/>
      <c r="M824" s="253"/>
      <c r="N824" s="253"/>
      <c r="O824" s="253"/>
      <c r="P824" s="253"/>
      <c r="Q824" s="253"/>
      <c r="R824" s="253"/>
      <c r="S824" s="253"/>
      <c r="EH824" s="3"/>
      <c r="GS824" s="3"/>
      <c r="HM824" s="2">
        <v>49.53</v>
      </c>
      <c r="IT824" s="2">
        <f>HM824/1.18</f>
        <v>41.9745762711864</v>
      </c>
      <c r="IU824" s="301">
        <f>15.91*1.04</f>
        <v>16.55</v>
      </c>
      <c r="IV824" s="312">
        <f>16.55*1.045</f>
        <v>17.29</v>
      </c>
    </row>
    <row r="825" spans="1:256" s="2" customFormat="1" ht="16.5" customHeight="1" x14ac:dyDescent="0.25">
      <c r="A825" s="126" t="s">
        <v>655</v>
      </c>
      <c r="B825" s="125" t="s">
        <v>1080</v>
      </c>
      <c r="C825" s="122" t="s">
        <v>1053</v>
      </c>
      <c r="D825" s="389">
        <v>34.56</v>
      </c>
      <c r="E825" s="96"/>
      <c r="F825" s="154"/>
      <c r="G825" s="226"/>
      <c r="H825" s="253"/>
      <c r="I825" s="253"/>
      <c r="J825" s="253"/>
      <c r="K825" s="253"/>
      <c r="L825" s="253"/>
      <c r="M825" s="253"/>
      <c r="N825" s="253"/>
      <c r="O825" s="253"/>
      <c r="P825" s="253"/>
      <c r="Q825" s="253"/>
      <c r="R825" s="253"/>
      <c r="S825" s="253"/>
      <c r="EH825" s="3"/>
      <c r="GS825" s="3"/>
      <c r="IU825" s="314"/>
      <c r="IV825" s="312"/>
    </row>
    <row r="826" spans="1:256" s="2" customFormat="1" ht="47.25" x14ac:dyDescent="0.2">
      <c r="A826" s="121" t="s">
        <v>37</v>
      </c>
      <c r="B826" s="397" t="s">
        <v>1093</v>
      </c>
      <c r="C826" s="122" t="s">
        <v>1053</v>
      </c>
      <c r="D826" s="389">
        <f>321.63</f>
        <v>321.63</v>
      </c>
      <c r="E826" s="96"/>
      <c r="F826" s="154">
        <f t="shared" si="46"/>
        <v>321.63</v>
      </c>
      <c r="G826" s="226"/>
      <c r="H826" s="253"/>
      <c r="I826" s="253"/>
      <c r="J826" s="253"/>
      <c r="K826" s="253"/>
      <c r="L826" s="253"/>
      <c r="M826" s="253"/>
      <c r="N826" s="253"/>
      <c r="O826" s="253"/>
      <c r="P826" s="253"/>
      <c r="Q826" s="253"/>
      <c r="R826" s="253"/>
      <c r="S826" s="253"/>
      <c r="EH826" s="3" t="s">
        <v>1054</v>
      </c>
      <c r="GS826" s="3"/>
    </row>
    <row r="827" spans="1:256" s="2" customFormat="1" ht="44.25" hidden="1" customHeight="1" x14ac:dyDescent="0.2">
      <c r="A827" s="121" t="s">
        <v>1092</v>
      </c>
      <c r="B827" s="397" t="s">
        <v>1095</v>
      </c>
      <c r="C827" s="122" t="s">
        <v>1053</v>
      </c>
      <c r="D827" s="389">
        <f>108.58</f>
        <v>108.58</v>
      </c>
      <c r="E827" s="96"/>
      <c r="F827" s="154">
        <f t="shared" si="46"/>
        <v>108.58</v>
      </c>
      <c r="G827" s="226"/>
      <c r="H827" s="253"/>
      <c r="I827" s="253"/>
      <c r="J827" s="253"/>
      <c r="K827" s="253"/>
      <c r="L827" s="253"/>
      <c r="M827" s="253"/>
      <c r="N827" s="253"/>
      <c r="O827" s="253"/>
      <c r="P827" s="253"/>
      <c r="Q827" s="253"/>
      <c r="R827" s="253"/>
      <c r="S827" s="253"/>
      <c r="EH827" s="3"/>
      <c r="GS827" s="3"/>
      <c r="IU827" s="301">
        <f>99.9*1.04</f>
        <v>103.9</v>
      </c>
      <c r="IV827" s="312">
        <f>103.9*1.045</f>
        <v>108.58</v>
      </c>
    </row>
    <row r="828" spans="1:256" s="2" customFormat="1" ht="36" customHeight="1" x14ac:dyDescent="0.2">
      <c r="A828" s="121" t="s">
        <v>39</v>
      </c>
      <c r="B828" s="397" t="s">
        <v>1096</v>
      </c>
      <c r="C828" s="122" t="s">
        <v>1053</v>
      </c>
      <c r="D828" s="389">
        <f>252.3</f>
        <v>252.3</v>
      </c>
      <c r="E828" s="96"/>
      <c r="F828" s="154">
        <f>D828+E828</f>
        <v>252.3</v>
      </c>
      <c r="G828" s="226"/>
      <c r="H828" s="253"/>
      <c r="I828" s="253"/>
      <c r="J828" s="253"/>
      <c r="K828" s="253"/>
      <c r="L828" s="253"/>
      <c r="M828" s="253"/>
      <c r="N828" s="253"/>
      <c r="O828" s="253"/>
      <c r="P828" s="253"/>
      <c r="Q828" s="253"/>
      <c r="R828" s="253"/>
      <c r="S828" s="253"/>
      <c r="EH828" s="3" t="s">
        <v>1054</v>
      </c>
      <c r="GS828" s="3"/>
    </row>
    <row r="829" spans="1:256" s="2" customFormat="1" ht="52.5" customHeight="1" x14ac:dyDescent="0.2">
      <c r="A829" s="121" t="s">
        <v>41</v>
      </c>
      <c r="B829" s="397" t="s">
        <v>1097</v>
      </c>
      <c r="C829" s="122" t="s">
        <v>1053</v>
      </c>
      <c r="D829" s="389">
        <f>46.75</f>
        <v>46.75</v>
      </c>
      <c r="E829" s="96"/>
      <c r="F829" s="154">
        <f t="shared" si="46"/>
        <v>46.75</v>
      </c>
      <c r="G829" s="226"/>
      <c r="H829" s="253"/>
      <c r="I829" s="253"/>
      <c r="J829" s="253"/>
      <c r="K829" s="253"/>
      <c r="L829" s="253"/>
      <c r="M829" s="253"/>
      <c r="N829" s="253"/>
      <c r="O829" s="253"/>
      <c r="P829" s="253"/>
      <c r="Q829" s="253"/>
      <c r="R829" s="253"/>
      <c r="S829" s="253"/>
      <c r="EH829" s="3"/>
      <c r="GS829" s="3"/>
      <c r="IU829" s="301">
        <f>43.02*1.04</f>
        <v>44.74</v>
      </c>
      <c r="IV829" s="312">
        <f>44.74*1.045</f>
        <v>46.75</v>
      </c>
    </row>
    <row r="830" spans="1:256" s="2" customFormat="1" ht="36" customHeight="1" x14ac:dyDescent="0.2">
      <c r="A830" s="132" t="s">
        <v>44</v>
      </c>
      <c r="B830" s="397" t="s">
        <v>2267</v>
      </c>
      <c r="C830" s="122" t="s">
        <v>1053</v>
      </c>
      <c r="D830" s="389">
        <f>298.64</f>
        <v>298.64</v>
      </c>
      <c r="E830" s="96"/>
      <c r="F830" s="154">
        <f t="shared" si="46"/>
        <v>298.64</v>
      </c>
      <c r="G830" s="226"/>
      <c r="H830" s="253"/>
      <c r="I830" s="253"/>
      <c r="J830" s="253"/>
      <c r="K830" s="253"/>
      <c r="L830" s="253"/>
      <c r="M830" s="253"/>
      <c r="N830" s="253"/>
      <c r="O830" s="253"/>
      <c r="P830" s="253"/>
      <c r="Q830" s="253"/>
      <c r="R830" s="253"/>
      <c r="S830" s="253"/>
      <c r="EH830" s="3"/>
      <c r="GS830" s="3"/>
    </row>
    <row r="831" spans="1:256" s="2" customFormat="1" ht="33.75" customHeight="1" x14ac:dyDescent="0.2">
      <c r="A831" s="132" t="s">
        <v>46</v>
      </c>
      <c r="B831" s="397" t="s">
        <v>1100</v>
      </c>
      <c r="C831" s="122" t="s">
        <v>1053</v>
      </c>
      <c r="D831" s="389">
        <f>59.2</f>
        <v>59.2</v>
      </c>
      <c r="E831" s="96"/>
      <c r="F831" s="154">
        <f t="shared" si="46"/>
        <v>59.2</v>
      </c>
      <c r="G831" s="226"/>
      <c r="H831" s="253"/>
      <c r="I831" s="253"/>
      <c r="J831" s="253"/>
      <c r="K831" s="253"/>
      <c r="L831" s="253"/>
      <c r="M831" s="253"/>
      <c r="N831" s="253"/>
      <c r="O831" s="253"/>
      <c r="P831" s="253"/>
      <c r="Q831" s="253"/>
      <c r="R831" s="253"/>
      <c r="S831" s="253"/>
      <c r="EH831" s="3"/>
      <c r="GS831" s="3"/>
      <c r="HM831" s="2">
        <v>69.849999999999994</v>
      </c>
      <c r="IT831" s="2">
        <f>HM831/1.18</f>
        <v>59.194915254237301</v>
      </c>
      <c r="IU831" s="301">
        <f>32.47*1.04</f>
        <v>33.770000000000003</v>
      </c>
      <c r="IV831" s="312">
        <f>33.77*1.045</f>
        <v>35.29</v>
      </c>
    </row>
    <row r="832" spans="1:256" s="2" customFormat="1" ht="31.5" hidden="1" x14ac:dyDescent="0.2">
      <c r="A832" s="132" t="s">
        <v>1098</v>
      </c>
      <c r="B832" s="397" t="s">
        <v>1102</v>
      </c>
      <c r="C832" s="122" t="s">
        <v>1053</v>
      </c>
      <c r="D832" s="389">
        <f>76.35</f>
        <v>76.349999999999994</v>
      </c>
      <c r="E832" s="96"/>
      <c r="F832" s="154">
        <f t="shared" si="46"/>
        <v>76.349999999999994</v>
      </c>
      <c r="G832" s="226"/>
      <c r="H832" s="253"/>
      <c r="I832" s="253"/>
      <c r="J832" s="253"/>
      <c r="K832" s="253"/>
      <c r="L832" s="253"/>
      <c r="M832" s="253"/>
      <c r="N832" s="253"/>
      <c r="O832" s="253"/>
      <c r="P832" s="253"/>
      <c r="Q832" s="253"/>
      <c r="R832" s="253"/>
      <c r="S832" s="253"/>
      <c r="EH832" s="3"/>
      <c r="GS832" s="3"/>
      <c r="IU832" s="301">
        <f>70.25*1.04</f>
        <v>73.06</v>
      </c>
      <c r="IV832" s="312">
        <f>73.06*1.045</f>
        <v>76.349999999999994</v>
      </c>
    </row>
    <row r="833" spans="1:256" s="2" customFormat="1" ht="34.5" hidden="1" customHeight="1" x14ac:dyDescent="0.2">
      <c r="A833" s="132" t="s">
        <v>1099</v>
      </c>
      <c r="B833" s="397" t="s">
        <v>1104</v>
      </c>
      <c r="C833" s="122" t="s">
        <v>1053</v>
      </c>
      <c r="D833" s="389">
        <f>41.07</f>
        <v>41.07</v>
      </c>
      <c r="E833" s="96"/>
      <c r="F833" s="154">
        <f>D833+E833</f>
        <v>41.07</v>
      </c>
      <c r="G833" s="226"/>
      <c r="H833" s="253"/>
      <c r="I833" s="253"/>
      <c r="J833" s="253"/>
      <c r="K833" s="253"/>
      <c r="L833" s="253"/>
      <c r="M833" s="253"/>
      <c r="N833" s="253"/>
      <c r="O833" s="253"/>
      <c r="P833" s="253"/>
      <c r="Q833" s="253"/>
      <c r="R833" s="253"/>
      <c r="S833" s="253"/>
      <c r="EH833" s="3"/>
      <c r="GS833" s="3"/>
      <c r="IU833" s="301">
        <f>37.79*1.04</f>
        <v>39.299999999999997</v>
      </c>
      <c r="IV833" s="312">
        <f>39.3*1.045</f>
        <v>41.07</v>
      </c>
    </row>
    <row r="834" spans="1:256" s="2" customFormat="1" ht="47.25" hidden="1" x14ac:dyDescent="0.2">
      <c r="A834" s="121" t="s">
        <v>1101</v>
      </c>
      <c r="B834" s="397" t="s">
        <v>1106</v>
      </c>
      <c r="C834" s="122" t="s">
        <v>1053</v>
      </c>
      <c r="D834" s="389">
        <f>158.22</f>
        <v>158.22</v>
      </c>
      <c r="E834" s="96"/>
      <c r="F834" s="154">
        <f>D834+E834</f>
        <v>158.22</v>
      </c>
      <c r="G834" s="226"/>
      <c r="H834" s="253"/>
      <c r="I834" s="253"/>
      <c r="J834" s="253"/>
      <c r="K834" s="253"/>
      <c r="L834" s="253"/>
      <c r="M834" s="253"/>
      <c r="N834" s="253"/>
      <c r="O834" s="253"/>
      <c r="P834" s="253"/>
      <c r="Q834" s="253"/>
      <c r="R834" s="253"/>
      <c r="S834" s="253"/>
      <c r="EH834" s="3"/>
      <c r="GS834" s="3"/>
      <c r="IU834" s="301">
        <f>145.59*1.04</f>
        <v>151.41</v>
      </c>
      <c r="IV834" s="312">
        <f>151.41*1.045</f>
        <v>158.22</v>
      </c>
    </row>
    <row r="835" spans="1:256" s="2" customFormat="1" ht="47.25" hidden="1" x14ac:dyDescent="0.2">
      <c r="A835" s="121" t="s">
        <v>1103</v>
      </c>
      <c r="B835" s="397" t="s">
        <v>1108</v>
      </c>
      <c r="C835" s="122" t="s">
        <v>1053</v>
      </c>
      <c r="D835" s="389">
        <f>125.25</f>
        <v>125.25</v>
      </c>
      <c r="E835" s="96"/>
      <c r="F835" s="154">
        <f t="shared" si="46"/>
        <v>125.25</v>
      </c>
      <c r="G835" s="226"/>
      <c r="H835" s="253"/>
      <c r="I835" s="253"/>
      <c r="J835" s="253"/>
      <c r="K835" s="253"/>
      <c r="L835" s="253"/>
      <c r="M835" s="253"/>
      <c r="N835" s="253"/>
      <c r="O835" s="253"/>
      <c r="P835" s="253"/>
      <c r="Q835" s="253"/>
      <c r="R835" s="253"/>
      <c r="S835" s="253"/>
      <c r="EH835" s="3"/>
      <c r="GS835" s="3"/>
      <c r="IU835" s="301">
        <f>115.25*1.04</f>
        <v>119.86</v>
      </c>
      <c r="IV835" s="312">
        <f>119.86*1.045</f>
        <v>125.25</v>
      </c>
    </row>
    <row r="836" spans="1:256" s="2" customFormat="1" ht="47.25" hidden="1" x14ac:dyDescent="0.2">
      <c r="A836" s="121" t="s">
        <v>1105</v>
      </c>
      <c r="B836" s="397" t="s">
        <v>1110</v>
      </c>
      <c r="C836" s="122" t="s">
        <v>1053</v>
      </c>
      <c r="D836" s="389">
        <f>99.11</f>
        <v>99.11</v>
      </c>
      <c r="E836" s="96"/>
      <c r="F836" s="154">
        <f t="shared" si="46"/>
        <v>99.11</v>
      </c>
      <c r="G836" s="226"/>
      <c r="H836" s="253"/>
      <c r="I836" s="253"/>
      <c r="J836" s="253"/>
      <c r="K836" s="253"/>
      <c r="L836" s="253"/>
      <c r="M836" s="253"/>
      <c r="N836" s="253"/>
      <c r="O836" s="253"/>
      <c r="P836" s="253"/>
      <c r="Q836" s="253"/>
      <c r="R836" s="253"/>
      <c r="S836" s="253"/>
      <c r="EH836" s="3"/>
      <c r="GS836" s="3"/>
      <c r="IU836" s="301">
        <f>91.19*1.04</f>
        <v>94.84</v>
      </c>
      <c r="IV836" s="312">
        <f>94.84*1.045</f>
        <v>99.11</v>
      </c>
    </row>
    <row r="837" spans="1:256" s="2" customFormat="1" ht="36" hidden="1" customHeight="1" x14ac:dyDescent="0.2">
      <c r="A837" s="121" t="s">
        <v>1107</v>
      </c>
      <c r="B837" s="397" t="s">
        <v>1112</v>
      </c>
      <c r="C837" s="122" t="s">
        <v>1053</v>
      </c>
      <c r="D837" s="389">
        <f>92.48</f>
        <v>92.48</v>
      </c>
      <c r="E837" s="96"/>
      <c r="F837" s="154">
        <f t="shared" si="46"/>
        <v>92.48</v>
      </c>
      <c r="G837" s="226"/>
      <c r="H837" s="253"/>
      <c r="I837" s="253"/>
      <c r="J837" s="253"/>
      <c r="K837" s="253"/>
      <c r="L837" s="253"/>
      <c r="M837" s="253"/>
      <c r="N837" s="253"/>
      <c r="O837" s="253"/>
      <c r="P837" s="253"/>
      <c r="Q837" s="253"/>
      <c r="R837" s="253"/>
      <c r="S837" s="253"/>
      <c r="EH837" s="3"/>
      <c r="GS837" s="3"/>
    </row>
    <row r="838" spans="1:256" s="2" customFormat="1" ht="34.5" hidden="1" customHeight="1" x14ac:dyDescent="0.2">
      <c r="A838" s="121" t="s">
        <v>1109</v>
      </c>
      <c r="B838" s="397" t="s">
        <v>1113</v>
      </c>
      <c r="C838" s="122" t="s">
        <v>1053</v>
      </c>
      <c r="D838" s="389">
        <f>48.68</f>
        <v>48.68</v>
      </c>
      <c r="E838" s="96"/>
      <c r="F838" s="154">
        <f>D838+E838</f>
        <v>48.68</v>
      </c>
      <c r="G838" s="226"/>
      <c r="H838" s="253"/>
      <c r="I838" s="253"/>
      <c r="J838" s="253"/>
      <c r="K838" s="253"/>
      <c r="L838" s="253"/>
      <c r="M838" s="253"/>
      <c r="N838" s="253"/>
      <c r="O838" s="253"/>
      <c r="P838" s="253"/>
      <c r="Q838" s="253"/>
      <c r="R838" s="253"/>
      <c r="S838" s="253"/>
      <c r="EH838" s="3"/>
      <c r="GS838" s="3"/>
    </row>
    <row r="839" spans="1:256" s="2" customFormat="1" ht="24.75" hidden="1" customHeight="1" x14ac:dyDescent="0.2">
      <c r="A839" s="132" t="s">
        <v>1111</v>
      </c>
      <c r="B839" s="397" t="s">
        <v>1114</v>
      </c>
      <c r="C839" s="122" t="s">
        <v>1053</v>
      </c>
      <c r="D839" s="389">
        <f>48.68</f>
        <v>48.68</v>
      </c>
      <c r="E839" s="96"/>
      <c r="F839" s="154">
        <f>D839+E839</f>
        <v>48.68</v>
      </c>
      <c r="G839" s="226"/>
      <c r="H839" s="253"/>
      <c r="I839" s="253"/>
      <c r="J839" s="253"/>
      <c r="K839" s="253"/>
      <c r="L839" s="253"/>
      <c r="M839" s="253"/>
      <c r="N839" s="253"/>
      <c r="O839" s="253"/>
      <c r="P839" s="253"/>
      <c r="Q839" s="253"/>
      <c r="R839" s="253"/>
      <c r="S839" s="253"/>
      <c r="EH839" s="3"/>
      <c r="GS839" s="3"/>
    </row>
    <row r="840" spans="1:256" s="2" customFormat="1" ht="66" customHeight="1" x14ac:dyDescent="0.2">
      <c r="A840" s="121" t="s">
        <v>48</v>
      </c>
      <c r="B840" s="397" t="s">
        <v>1116</v>
      </c>
      <c r="C840" s="122" t="s">
        <v>1053</v>
      </c>
      <c r="D840" s="389">
        <f>387.39</f>
        <v>387.39</v>
      </c>
      <c r="E840" s="96"/>
      <c r="F840" s="154">
        <f t="shared" si="46"/>
        <v>387.39</v>
      </c>
      <c r="G840" s="226"/>
      <c r="H840" s="253"/>
      <c r="I840" s="253"/>
      <c r="J840" s="253"/>
      <c r="K840" s="253"/>
      <c r="L840" s="253"/>
      <c r="M840" s="253"/>
      <c r="N840" s="253"/>
      <c r="O840" s="253"/>
      <c r="P840" s="253"/>
      <c r="Q840" s="253"/>
      <c r="R840" s="253"/>
      <c r="S840" s="253"/>
      <c r="EH840" s="3"/>
      <c r="GS840" s="3"/>
    </row>
    <row r="841" spans="1:256" s="2" customFormat="1" ht="20.25" customHeight="1" x14ac:dyDescent="0.2">
      <c r="A841" s="121" t="s">
        <v>50</v>
      </c>
      <c r="B841" s="430" t="s">
        <v>1117</v>
      </c>
      <c r="C841" s="430"/>
      <c r="D841" s="430"/>
      <c r="E841" s="208"/>
      <c r="F841" s="208"/>
      <c r="G841" s="226"/>
      <c r="H841" s="253"/>
      <c r="I841" s="253"/>
      <c r="J841" s="253"/>
      <c r="K841" s="253"/>
      <c r="L841" s="253"/>
      <c r="M841" s="253"/>
      <c r="N841" s="253"/>
      <c r="O841" s="253"/>
      <c r="P841" s="253"/>
      <c r="Q841" s="253"/>
      <c r="R841" s="253"/>
      <c r="S841" s="253"/>
      <c r="EH841" s="3"/>
      <c r="GS841" s="3"/>
    </row>
    <row r="842" spans="1:256" s="2" customFormat="1" ht="19.5" hidden="1" customHeight="1" x14ac:dyDescent="0.2">
      <c r="A842" s="126" t="s">
        <v>1821</v>
      </c>
      <c r="B842" s="381" t="s">
        <v>1118</v>
      </c>
      <c r="C842" s="122" t="s">
        <v>1053</v>
      </c>
      <c r="D842" s="389">
        <f>85.41</f>
        <v>85.41</v>
      </c>
      <c r="E842" s="96"/>
      <c r="F842" s="154">
        <f>D842+E842</f>
        <v>85.41</v>
      </c>
      <c r="G842" s="226"/>
      <c r="H842" s="253"/>
      <c r="I842" s="253"/>
      <c r="J842" s="253"/>
      <c r="K842" s="253"/>
      <c r="L842" s="253"/>
      <c r="M842" s="253"/>
      <c r="N842" s="253"/>
      <c r="O842" s="253"/>
      <c r="P842" s="253"/>
      <c r="Q842" s="253"/>
      <c r="R842" s="253"/>
      <c r="S842" s="253"/>
      <c r="EH842" s="3"/>
      <c r="GS842" s="3"/>
      <c r="HM842" s="2">
        <v>100.78</v>
      </c>
      <c r="IT842" s="2">
        <f>HM842/1.18</f>
        <v>85.406779661016998</v>
      </c>
      <c r="IU842" s="301">
        <f>65.83*1.04</f>
        <v>68.459999999999994</v>
      </c>
      <c r="IV842" s="312">
        <f>68.46*1.045</f>
        <v>71.540000000000006</v>
      </c>
    </row>
    <row r="843" spans="1:256" s="2" customFormat="1" ht="36" customHeight="1" x14ac:dyDescent="0.2">
      <c r="A843" s="126" t="s">
        <v>835</v>
      </c>
      <c r="B843" s="381" t="s">
        <v>1119</v>
      </c>
      <c r="C843" s="122" t="s">
        <v>1053</v>
      </c>
      <c r="D843" s="389">
        <f>108.59</f>
        <v>108.59</v>
      </c>
      <c r="E843" s="96"/>
      <c r="F843" s="154">
        <f>D843+E843</f>
        <v>108.59</v>
      </c>
      <c r="G843" s="226"/>
      <c r="H843" s="253"/>
      <c r="I843" s="253"/>
      <c r="J843" s="253"/>
      <c r="K843" s="253"/>
      <c r="L843" s="253"/>
      <c r="M843" s="253"/>
      <c r="N843" s="253"/>
      <c r="O843" s="253"/>
      <c r="P843" s="253"/>
      <c r="Q843" s="253"/>
      <c r="R843" s="253"/>
      <c r="S843" s="253"/>
      <c r="EH843" s="3"/>
      <c r="GS843" s="3"/>
    </row>
    <row r="844" spans="1:256" s="2" customFormat="1" ht="33.75" hidden="1" customHeight="1" x14ac:dyDescent="0.2">
      <c r="A844" s="121" t="s">
        <v>1115</v>
      </c>
      <c r="B844" s="397" t="s">
        <v>1120</v>
      </c>
      <c r="C844" s="122" t="s">
        <v>1053</v>
      </c>
      <c r="D844" s="389">
        <f>114.07</f>
        <v>114.07</v>
      </c>
      <c r="E844" s="96"/>
      <c r="F844" s="154">
        <f>D844+E844</f>
        <v>114.07</v>
      </c>
      <c r="G844" s="226"/>
      <c r="H844" s="253"/>
      <c r="I844" s="253"/>
      <c r="J844" s="253"/>
      <c r="K844" s="253"/>
      <c r="L844" s="253"/>
      <c r="M844" s="253"/>
      <c r="N844" s="253"/>
      <c r="O844" s="253"/>
      <c r="P844" s="253"/>
      <c r="Q844" s="253"/>
      <c r="R844" s="253"/>
      <c r="S844" s="253"/>
      <c r="EH844" s="3"/>
      <c r="GS844" s="3"/>
      <c r="HM844" s="2">
        <v>134.6</v>
      </c>
      <c r="IT844" s="2">
        <f>HM844/1.18</f>
        <v>114.067796610169</v>
      </c>
      <c r="IU844" s="301">
        <f>97.46*1.04</f>
        <v>101.36</v>
      </c>
      <c r="IV844" s="312">
        <f>101.36*1.045</f>
        <v>105.92</v>
      </c>
    </row>
    <row r="845" spans="1:256" s="2" customFormat="1" ht="15.75" customHeight="1" x14ac:dyDescent="0.2">
      <c r="A845" s="121" t="s">
        <v>52</v>
      </c>
      <c r="B845" s="430" t="s">
        <v>1121</v>
      </c>
      <c r="C845" s="430"/>
      <c r="D845" s="430"/>
      <c r="E845" s="208"/>
      <c r="F845" s="208"/>
      <c r="G845" s="226"/>
      <c r="H845" s="253"/>
      <c r="I845" s="253"/>
      <c r="J845" s="253"/>
      <c r="K845" s="253"/>
      <c r="L845" s="253"/>
      <c r="M845" s="253"/>
      <c r="N845" s="253"/>
      <c r="O845" s="253"/>
      <c r="P845" s="253"/>
      <c r="Q845" s="253"/>
      <c r="R845" s="253"/>
      <c r="S845" s="253"/>
      <c r="EH845" s="3"/>
      <c r="GS845" s="3"/>
    </row>
    <row r="846" spans="1:256" s="2" customFormat="1" ht="15.75" x14ac:dyDescent="0.25">
      <c r="A846" s="126" t="s">
        <v>846</v>
      </c>
      <c r="B846" s="125" t="s">
        <v>1122</v>
      </c>
      <c r="C846" s="122" t="s">
        <v>1053</v>
      </c>
      <c r="D846" s="389">
        <f>220.74</f>
        <v>220.74</v>
      </c>
      <c r="E846" s="96"/>
      <c r="F846" s="154">
        <f>D846+E846</f>
        <v>220.74</v>
      </c>
      <c r="G846" s="226"/>
      <c r="H846" s="253"/>
      <c r="I846" s="253"/>
      <c r="J846" s="253"/>
      <c r="K846" s="253"/>
      <c r="L846" s="253"/>
      <c r="M846" s="253"/>
      <c r="N846" s="253"/>
      <c r="O846" s="253"/>
      <c r="P846" s="253"/>
      <c r="Q846" s="253"/>
      <c r="R846" s="253"/>
      <c r="S846" s="253"/>
      <c r="EH846" s="3" t="s">
        <v>1054</v>
      </c>
      <c r="GS846" s="3"/>
    </row>
    <row r="847" spans="1:256" s="2" customFormat="1" ht="15.75" hidden="1" x14ac:dyDescent="0.25">
      <c r="A847" s="121" t="s">
        <v>1822</v>
      </c>
      <c r="B847" s="125" t="s">
        <v>1123</v>
      </c>
      <c r="C847" s="122" t="s">
        <v>1053</v>
      </c>
      <c r="D847" s="389">
        <f>95.54</f>
        <v>95.54</v>
      </c>
      <c r="E847" s="96"/>
      <c r="F847" s="154">
        <f>D847+E847</f>
        <v>95.54</v>
      </c>
      <c r="G847" s="226"/>
      <c r="H847" s="253"/>
      <c r="I847" s="253"/>
      <c r="J847" s="253"/>
      <c r="K847" s="253"/>
      <c r="L847" s="253"/>
      <c r="M847" s="253"/>
      <c r="N847" s="253"/>
      <c r="O847" s="253"/>
      <c r="P847" s="253"/>
      <c r="Q847" s="253"/>
      <c r="R847" s="253"/>
      <c r="S847" s="253"/>
      <c r="EH847" s="3"/>
      <c r="GS847" s="3"/>
      <c r="HM847" s="2">
        <v>112.74</v>
      </c>
      <c r="IT847" s="2">
        <f>HM847/1.18</f>
        <v>95.542372881355902</v>
      </c>
      <c r="IU847" s="301">
        <f>52.75*1.04</f>
        <v>54.86</v>
      </c>
      <c r="IV847" s="312">
        <f>54.86*1.045</f>
        <v>57.33</v>
      </c>
    </row>
    <row r="848" spans="1:256" s="2" customFormat="1" ht="33.75" hidden="1" customHeight="1" x14ac:dyDescent="0.2">
      <c r="A848" s="121" t="s">
        <v>1822</v>
      </c>
      <c r="B848" s="397" t="s">
        <v>1124</v>
      </c>
      <c r="C848" s="122" t="s">
        <v>1053</v>
      </c>
      <c r="D848" s="389">
        <f>119.15</f>
        <v>119.15</v>
      </c>
      <c r="E848" s="96"/>
      <c r="F848" s="154">
        <f>D848+E848</f>
        <v>119.15</v>
      </c>
      <c r="G848" s="226"/>
      <c r="H848" s="253"/>
      <c r="I848" s="253"/>
      <c r="J848" s="253"/>
      <c r="K848" s="253"/>
      <c r="L848" s="253"/>
      <c r="M848" s="253"/>
      <c r="N848" s="253"/>
      <c r="O848" s="253"/>
      <c r="P848" s="253"/>
      <c r="Q848" s="253"/>
      <c r="R848" s="253"/>
      <c r="S848" s="253"/>
      <c r="EH848" s="3"/>
      <c r="GS848" s="3"/>
      <c r="HM848" s="2">
        <v>140.6</v>
      </c>
      <c r="IT848" s="2">
        <f>HM848/1.18</f>
        <v>119.152542372881</v>
      </c>
      <c r="IU848" s="301">
        <f>79.52*1.04</f>
        <v>82.7</v>
      </c>
      <c r="IV848" s="312">
        <f>82.7*1.045</f>
        <v>86.42</v>
      </c>
    </row>
    <row r="849" spans="1:256" s="2" customFormat="1" ht="34.5" hidden="1" customHeight="1" x14ac:dyDescent="0.2">
      <c r="A849" s="121" t="s">
        <v>1822</v>
      </c>
      <c r="B849" s="397" t="s">
        <v>1125</v>
      </c>
      <c r="C849" s="122" t="s">
        <v>1053</v>
      </c>
      <c r="D849" s="389">
        <f>175.79</f>
        <v>175.79</v>
      </c>
      <c r="E849" s="96"/>
      <c r="F849" s="154">
        <f>D849+E849</f>
        <v>175.79</v>
      </c>
      <c r="G849" s="226"/>
      <c r="H849" s="253"/>
      <c r="I849" s="253"/>
      <c r="J849" s="253"/>
      <c r="K849" s="253"/>
      <c r="L849" s="253"/>
      <c r="M849" s="253"/>
      <c r="N849" s="253"/>
      <c r="O849" s="253"/>
      <c r="P849" s="253"/>
      <c r="Q849" s="253"/>
      <c r="R849" s="253"/>
      <c r="S849" s="253"/>
      <c r="EH849" s="3"/>
      <c r="GS849" s="3"/>
      <c r="HM849" s="2">
        <v>207.43</v>
      </c>
      <c r="IT849" s="2">
        <f>HM849/1.18</f>
        <v>175.78813559322001</v>
      </c>
      <c r="IU849" s="301">
        <f>87.54*1.04</f>
        <v>91.04</v>
      </c>
      <c r="IV849" s="312">
        <f>91.04*1.045</f>
        <v>95.14</v>
      </c>
    </row>
    <row r="850" spans="1:256" s="2" customFormat="1" ht="51.75" customHeight="1" x14ac:dyDescent="0.25">
      <c r="A850" s="121" t="s">
        <v>54</v>
      </c>
      <c r="B850" s="128" t="s">
        <v>1126</v>
      </c>
      <c r="C850" s="122" t="s">
        <v>1053</v>
      </c>
      <c r="D850" s="389">
        <f>301.64</f>
        <v>301.64</v>
      </c>
      <c r="E850" s="96"/>
      <c r="F850" s="154">
        <f>D850+E850</f>
        <v>301.64</v>
      </c>
      <c r="G850" s="226"/>
      <c r="H850" s="253"/>
      <c r="I850" s="253"/>
      <c r="J850" s="253"/>
      <c r="K850" s="253"/>
      <c r="L850" s="253"/>
      <c r="M850" s="253"/>
      <c r="N850" s="253"/>
      <c r="O850" s="253"/>
      <c r="P850" s="253"/>
      <c r="Q850" s="253"/>
      <c r="R850" s="253"/>
      <c r="S850" s="253"/>
      <c r="EH850" s="3" t="s">
        <v>1054</v>
      </c>
      <c r="GS850" s="3"/>
    </row>
    <row r="851" spans="1:256" s="2" customFormat="1" ht="35.25" customHeight="1" x14ac:dyDescent="0.2">
      <c r="A851" s="121" t="s">
        <v>56</v>
      </c>
      <c r="B851" s="430" t="s">
        <v>1128</v>
      </c>
      <c r="C851" s="430"/>
      <c r="D851" s="430"/>
      <c r="E851" s="208"/>
      <c r="F851" s="208"/>
      <c r="G851" s="226"/>
      <c r="H851" s="253"/>
      <c r="I851" s="253"/>
      <c r="J851" s="253"/>
      <c r="K851" s="253"/>
      <c r="L851" s="253"/>
      <c r="M851" s="253"/>
      <c r="N851" s="253"/>
      <c r="O851" s="253"/>
      <c r="P851" s="253"/>
      <c r="Q851" s="253"/>
      <c r="R851" s="253"/>
      <c r="S851" s="253"/>
      <c r="EH851" s="3"/>
      <c r="GS851" s="3"/>
    </row>
    <row r="852" spans="1:256" s="2" customFormat="1" ht="15.75" x14ac:dyDescent="0.25">
      <c r="A852" s="244" t="s">
        <v>863</v>
      </c>
      <c r="B852" s="125" t="s">
        <v>1129</v>
      </c>
      <c r="C852" s="122" t="s">
        <v>1053</v>
      </c>
      <c r="D852" s="389">
        <f>631.34</f>
        <v>631.34</v>
      </c>
      <c r="E852" s="96"/>
      <c r="F852" s="154">
        <f>D852+E852</f>
        <v>631.34</v>
      </c>
      <c r="G852" s="226"/>
      <c r="H852" s="253"/>
      <c r="I852" s="253"/>
      <c r="J852" s="253"/>
      <c r="K852" s="253"/>
      <c r="L852" s="253"/>
      <c r="M852" s="253"/>
      <c r="N852" s="253"/>
      <c r="O852" s="253"/>
      <c r="P852" s="253"/>
      <c r="Q852" s="253"/>
      <c r="R852" s="253"/>
      <c r="S852" s="253"/>
      <c r="EH852" s="3" t="s">
        <v>1054</v>
      </c>
      <c r="GS852" s="3"/>
    </row>
    <row r="853" spans="1:256" s="2" customFormat="1" ht="15.75" hidden="1" x14ac:dyDescent="0.25">
      <c r="A853" s="121" t="s">
        <v>1823</v>
      </c>
      <c r="B853" s="125" t="s">
        <v>1130</v>
      </c>
      <c r="C853" s="122" t="s">
        <v>1053</v>
      </c>
      <c r="D853" s="389">
        <f>391.7</f>
        <v>391.7</v>
      </c>
      <c r="E853" s="96"/>
      <c r="F853" s="154">
        <f>D853+E853</f>
        <v>391.7</v>
      </c>
      <c r="G853" s="226"/>
      <c r="H853" s="253"/>
      <c r="I853" s="253"/>
      <c r="J853" s="253"/>
      <c r="K853" s="253"/>
      <c r="L853" s="253"/>
      <c r="M853" s="253"/>
      <c r="N853" s="253"/>
      <c r="O853" s="253"/>
      <c r="P853" s="253"/>
      <c r="Q853" s="253"/>
      <c r="R853" s="253"/>
      <c r="S853" s="253"/>
      <c r="EH853" s="3"/>
      <c r="GS853" s="3"/>
      <c r="HM853" s="2">
        <v>462.2</v>
      </c>
      <c r="IT853" s="2">
        <f>HM853/1.18</f>
        <v>391.694915254237</v>
      </c>
      <c r="IU853" s="301">
        <f>158.25*1.04</f>
        <v>164.58</v>
      </c>
      <c r="IV853" s="312">
        <f>164.58*1.045</f>
        <v>171.99</v>
      </c>
    </row>
    <row r="854" spans="1:256" s="2" customFormat="1" ht="28.5" customHeight="1" x14ac:dyDescent="0.2">
      <c r="A854" s="121" t="s">
        <v>58</v>
      </c>
      <c r="B854" s="430" t="s">
        <v>1132</v>
      </c>
      <c r="C854" s="430"/>
      <c r="D854" s="430"/>
      <c r="E854" s="208"/>
      <c r="F854" s="208"/>
      <c r="G854" s="226"/>
      <c r="H854" s="253"/>
      <c r="I854" s="253"/>
      <c r="J854" s="253"/>
      <c r="K854" s="253"/>
      <c r="L854" s="253"/>
      <c r="M854" s="253"/>
      <c r="N854" s="253"/>
      <c r="O854" s="253"/>
      <c r="P854" s="253"/>
      <c r="Q854" s="253"/>
      <c r="R854" s="253"/>
      <c r="S854" s="253"/>
      <c r="EH854" s="3"/>
      <c r="GS854" s="3"/>
    </row>
    <row r="855" spans="1:256" s="2" customFormat="1" ht="15.75" x14ac:dyDescent="0.25">
      <c r="A855" s="244" t="s">
        <v>938</v>
      </c>
      <c r="B855" s="125" t="s">
        <v>1129</v>
      </c>
      <c r="C855" s="122" t="s">
        <v>1053</v>
      </c>
      <c r="D855" s="389">
        <f>578.81</f>
        <v>578.80999999999995</v>
      </c>
      <c r="E855" s="96"/>
      <c r="F855" s="154">
        <f>D855+E855</f>
        <v>578.80999999999995</v>
      </c>
      <c r="G855" s="226"/>
      <c r="H855" s="253"/>
      <c r="I855" s="253"/>
      <c r="J855" s="253"/>
      <c r="K855" s="253"/>
      <c r="L855" s="253"/>
      <c r="M855" s="253"/>
      <c r="N855" s="253"/>
      <c r="O855" s="253"/>
      <c r="P855" s="253"/>
      <c r="Q855" s="253"/>
      <c r="R855" s="253"/>
      <c r="S855" s="253"/>
      <c r="EH855" s="3" t="s">
        <v>1054</v>
      </c>
      <c r="GS855" s="3"/>
    </row>
    <row r="856" spans="1:256" s="2" customFormat="1" ht="15.75" hidden="1" x14ac:dyDescent="0.25">
      <c r="A856" s="244" t="s">
        <v>1825</v>
      </c>
      <c r="B856" s="125" t="s">
        <v>1130</v>
      </c>
      <c r="C856" s="122" t="s">
        <v>1053</v>
      </c>
      <c r="D856" s="389">
        <f>323.87</f>
        <v>323.87</v>
      </c>
      <c r="E856" s="96"/>
      <c r="F856" s="154">
        <f>D856+E856</f>
        <v>323.87</v>
      </c>
      <c r="G856" s="226"/>
      <c r="H856" s="253"/>
      <c r="I856" s="253"/>
      <c r="J856" s="253"/>
      <c r="K856" s="253"/>
      <c r="L856" s="253"/>
      <c r="M856" s="253"/>
      <c r="N856" s="253"/>
      <c r="O856" s="253"/>
      <c r="P856" s="253"/>
      <c r="Q856" s="253"/>
      <c r="R856" s="253"/>
      <c r="S856" s="253"/>
      <c r="EH856" s="3"/>
      <c r="GS856" s="3"/>
      <c r="HM856" s="2">
        <v>382.16</v>
      </c>
      <c r="IT856" s="2">
        <f>HM856/1.18</f>
        <v>323.86440677966101</v>
      </c>
      <c r="IU856" s="301">
        <f>148.44*1.04</f>
        <v>154.38</v>
      </c>
      <c r="IV856" s="312">
        <f>154.38*1.045</f>
        <v>161.33000000000001</v>
      </c>
    </row>
    <row r="857" spans="1:256" s="2" customFormat="1" ht="47.25" hidden="1" customHeight="1" x14ac:dyDescent="0.2">
      <c r="A857" s="245" t="s">
        <v>1127</v>
      </c>
      <c r="B857" s="397" t="s">
        <v>1133</v>
      </c>
      <c r="C857" s="122" t="s">
        <v>1053</v>
      </c>
      <c r="D857" s="389">
        <f>114.62</f>
        <v>114.62</v>
      </c>
      <c r="E857" s="96"/>
      <c r="F857" s="154">
        <f>D857+E857</f>
        <v>114.62</v>
      </c>
      <c r="G857" s="226"/>
      <c r="H857" s="253"/>
      <c r="I857" s="253"/>
      <c r="J857" s="253"/>
      <c r="K857" s="253"/>
      <c r="L857" s="253"/>
      <c r="M857" s="253"/>
      <c r="N857" s="253"/>
      <c r="O857" s="253"/>
      <c r="P857" s="253"/>
      <c r="Q857" s="253"/>
      <c r="R857" s="253"/>
      <c r="S857" s="253"/>
      <c r="EH857" s="3"/>
      <c r="GS857" s="3"/>
      <c r="IU857" s="301">
        <f>105.46*1.04</f>
        <v>109.68</v>
      </c>
      <c r="IV857" s="312">
        <f>109.68*1.045</f>
        <v>114.62</v>
      </c>
    </row>
    <row r="858" spans="1:256" s="2" customFormat="1" ht="15.75" x14ac:dyDescent="0.25">
      <c r="A858" s="245" t="s">
        <v>60</v>
      </c>
      <c r="B858" s="128" t="s">
        <v>1826</v>
      </c>
      <c r="C858" s="122" t="s">
        <v>1053</v>
      </c>
      <c r="D858" s="389">
        <v>375.25</v>
      </c>
      <c r="E858" s="96"/>
      <c r="F858" s="154">
        <f>D858+E858</f>
        <v>375.25</v>
      </c>
      <c r="G858" s="226"/>
      <c r="H858" s="253"/>
      <c r="I858" s="253"/>
      <c r="J858" s="253"/>
      <c r="K858" s="253"/>
      <c r="L858" s="253"/>
      <c r="M858" s="253"/>
      <c r="N858" s="253"/>
      <c r="O858" s="253"/>
      <c r="P858" s="253"/>
      <c r="Q858" s="253"/>
      <c r="R858" s="253"/>
      <c r="S858" s="253"/>
      <c r="EH858" s="3"/>
      <c r="GS858" s="3"/>
    </row>
    <row r="859" spans="1:256" s="2" customFormat="1" ht="34.5" hidden="1" customHeight="1" x14ac:dyDescent="0.2">
      <c r="A859" s="245" t="s">
        <v>1827</v>
      </c>
      <c r="B859" s="397" t="s">
        <v>1135</v>
      </c>
      <c r="C859" s="122" t="s">
        <v>1053</v>
      </c>
      <c r="D859" s="389">
        <f>267</f>
        <v>267</v>
      </c>
      <c r="E859" s="96"/>
      <c r="F859" s="154">
        <f>D859+E859</f>
        <v>267</v>
      </c>
      <c r="G859" s="226"/>
      <c r="H859" s="253"/>
      <c r="I859" s="253"/>
      <c r="J859" s="253"/>
      <c r="K859" s="253"/>
      <c r="L859" s="253"/>
      <c r="M859" s="253"/>
      <c r="N859" s="253"/>
      <c r="O859" s="253"/>
      <c r="P859" s="253"/>
      <c r="Q859" s="253"/>
      <c r="R859" s="253"/>
      <c r="S859" s="253"/>
      <c r="EH859" s="3"/>
      <c r="GS859" s="3"/>
      <c r="HM859" s="2">
        <v>315.06</v>
      </c>
      <c r="IT859" s="2">
        <f>HM859/1.18</f>
        <v>267</v>
      </c>
      <c r="IU859" s="301">
        <f>93.76*1.04</f>
        <v>97.51</v>
      </c>
      <c r="IV859" s="312">
        <f>97.51*1.045</f>
        <v>101.9</v>
      </c>
    </row>
    <row r="860" spans="1:256" s="2" customFormat="1" ht="15.75" customHeight="1" x14ac:dyDescent="0.2">
      <c r="A860" s="245" t="s">
        <v>62</v>
      </c>
      <c r="B860" s="430" t="s">
        <v>1136</v>
      </c>
      <c r="C860" s="430"/>
      <c r="D860" s="430"/>
      <c r="E860" s="208"/>
      <c r="F860" s="208"/>
      <c r="G860" s="226"/>
      <c r="H860" s="253"/>
      <c r="I860" s="253"/>
      <c r="J860" s="253"/>
      <c r="K860" s="253"/>
      <c r="L860" s="253"/>
      <c r="M860" s="253"/>
      <c r="N860" s="253"/>
      <c r="O860" s="253"/>
      <c r="P860" s="253"/>
      <c r="Q860" s="253"/>
      <c r="R860" s="253"/>
      <c r="S860" s="253"/>
      <c r="EH860" s="3"/>
      <c r="GS860" s="3"/>
    </row>
    <row r="861" spans="1:256" s="2" customFormat="1" ht="15.75" x14ac:dyDescent="0.25">
      <c r="A861" s="244" t="s">
        <v>958</v>
      </c>
      <c r="B861" s="125" t="s">
        <v>1137</v>
      </c>
      <c r="C861" s="122" t="s">
        <v>1053</v>
      </c>
      <c r="D861" s="389">
        <f>221.82</f>
        <v>221.82</v>
      </c>
      <c r="E861" s="96"/>
      <c r="F861" s="154">
        <f>D861+E861</f>
        <v>221.82</v>
      </c>
      <c r="G861" s="226"/>
      <c r="H861" s="253"/>
      <c r="I861" s="253"/>
      <c r="J861" s="253"/>
      <c r="K861" s="253"/>
      <c r="L861" s="253"/>
      <c r="M861" s="253"/>
      <c r="N861" s="253"/>
      <c r="O861" s="253"/>
      <c r="P861" s="253"/>
      <c r="Q861" s="253"/>
      <c r="R861" s="253"/>
      <c r="S861" s="253"/>
      <c r="EH861" s="3"/>
      <c r="GS861" s="3"/>
    </row>
    <row r="862" spans="1:256" s="2" customFormat="1" ht="15.75" customHeight="1" x14ac:dyDescent="0.25">
      <c r="A862" s="244" t="s">
        <v>2265</v>
      </c>
      <c r="B862" s="125" t="s">
        <v>1138</v>
      </c>
      <c r="C862" s="122" t="s">
        <v>1053</v>
      </c>
      <c r="D862" s="389">
        <f>155.2</f>
        <v>155.19999999999999</v>
      </c>
      <c r="E862" s="96"/>
      <c r="F862" s="154">
        <f>D862+E862</f>
        <v>155.19999999999999</v>
      </c>
      <c r="G862" s="226"/>
      <c r="H862" s="253"/>
      <c r="I862" s="253"/>
      <c r="J862" s="253"/>
      <c r="K862" s="253"/>
      <c r="L862" s="253"/>
      <c r="M862" s="253"/>
      <c r="N862" s="253"/>
      <c r="O862" s="253"/>
      <c r="P862" s="253"/>
      <c r="Q862" s="253"/>
      <c r="R862" s="253"/>
      <c r="S862" s="253"/>
      <c r="EH862" s="3"/>
      <c r="GS862" s="3"/>
      <c r="HM862" s="2">
        <v>183.14</v>
      </c>
      <c r="IT862" s="2">
        <f>HM862/1.18</f>
        <v>155.203389830508</v>
      </c>
      <c r="IU862" s="301">
        <f>67.75*1.04</f>
        <v>70.459999999999994</v>
      </c>
      <c r="IV862" s="312">
        <f>70.46*1.045</f>
        <v>73.63</v>
      </c>
    </row>
    <row r="863" spans="1:256" s="2" customFormat="1" ht="15.75" hidden="1" customHeight="1" x14ac:dyDescent="0.25">
      <c r="A863" s="244" t="s">
        <v>958</v>
      </c>
      <c r="B863" s="125" t="s">
        <v>1139</v>
      </c>
      <c r="C863" s="122" t="s">
        <v>1053</v>
      </c>
      <c r="D863" s="389">
        <f>157.49</f>
        <v>157.49</v>
      </c>
      <c r="E863" s="96"/>
      <c r="F863" s="154">
        <f>D863+E863</f>
        <v>157.49</v>
      </c>
      <c r="G863" s="226"/>
      <c r="H863" s="253"/>
      <c r="I863" s="253"/>
      <c r="J863" s="253"/>
      <c r="K863" s="253"/>
      <c r="L863" s="253"/>
      <c r="M863" s="253"/>
      <c r="N863" s="253"/>
      <c r="O863" s="253"/>
      <c r="P863" s="253"/>
      <c r="Q863" s="253"/>
      <c r="R863" s="253"/>
      <c r="S863" s="253"/>
      <c r="EH863" s="3"/>
      <c r="GS863" s="3"/>
      <c r="HM863" s="2">
        <v>185.84</v>
      </c>
      <c r="IT863" s="2">
        <f>HM863/1.18</f>
        <v>157.491525423729</v>
      </c>
      <c r="IU863" s="301">
        <f>118.84*1.04</f>
        <v>123.59</v>
      </c>
      <c r="IV863" s="312">
        <f>123.59*1.045</f>
        <v>129.15</v>
      </c>
    </row>
    <row r="864" spans="1:256" s="2" customFormat="1" ht="33.75" hidden="1" customHeight="1" x14ac:dyDescent="0.25">
      <c r="A864" s="244" t="s">
        <v>958</v>
      </c>
      <c r="B864" s="128" t="s">
        <v>1140</v>
      </c>
      <c r="C864" s="122" t="s">
        <v>1053</v>
      </c>
      <c r="D864" s="389">
        <f>47.31</f>
        <v>47.31</v>
      </c>
      <c r="E864" s="96"/>
      <c r="F864" s="154">
        <f>D864+E864</f>
        <v>47.31</v>
      </c>
      <c r="G864" s="226"/>
      <c r="H864" s="253"/>
      <c r="I864" s="253"/>
      <c r="J864" s="253"/>
      <c r="K864" s="253"/>
      <c r="L864" s="253"/>
      <c r="M864" s="253"/>
      <c r="N864" s="253"/>
      <c r="O864" s="253"/>
      <c r="P864" s="253"/>
      <c r="Q864" s="253"/>
      <c r="R864" s="253"/>
      <c r="S864" s="253"/>
      <c r="EH864" s="3"/>
      <c r="GS864" s="3"/>
      <c r="IU864" s="301">
        <f>43.53*1.04</f>
        <v>45.27</v>
      </c>
      <c r="IV864" s="312">
        <f>45.27*1.045</f>
        <v>47.31</v>
      </c>
    </row>
    <row r="865" spans="1:256" s="2" customFormat="1" ht="34.5" customHeight="1" x14ac:dyDescent="0.25">
      <c r="A865" s="245" t="s">
        <v>64</v>
      </c>
      <c r="B865" s="128" t="s">
        <v>1141</v>
      </c>
      <c r="C865" s="122" t="s">
        <v>1053</v>
      </c>
      <c r="D865" s="389">
        <f>149.06</f>
        <v>149.06</v>
      </c>
      <c r="E865" s="96"/>
      <c r="F865" s="154">
        <f>D865+E865</f>
        <v>149.06</v>
      </c>
      <c r="G865" s="226"/>
      <c r="H865" s="253"/>
      <c r="I865" s="253"/>
      <c r="J865" s="253"/>
      <c r="K865" s="253"/>
      <c r="L865" s="253"/>
      <c r="M865" s="253"/>
      <c r="N865" s="253"/>
      <c r="O865" s="253"/>
      <c r="P865" s="253"/>
      <c r="Q865" s="253"/>
      <c r="R865" s="253"/>
      <c r="S865" s="253"/>
      <c r="EH865" s="3"/>
      <c r="GS865" s="3"/>
      <c r="IU865" s="301">
        <f>137.15*1.04</f>
        <v>142.63999999999999</v>
      </c>
      <c r="IV865" s="312">
        <f>142.64*1.045</f>
        <v>149.06</v>
      </c>
    </row>
    <row r="866" spans="1:256" s="2" customFormat="1" ht="17.25" customHeight="1" x14ac:dyDescent="0.2">
      <c r="A866" s="245" t="s">
        <v>66</v>
      </c>
      <c r="B866" s="430" t="s">
        <v>1142</v>
      </c>
      <c r="C866" s="430"/>
      <c r="D866" s="430"/>
      <c r="E866" s="208"/>
      <c r="F866" s="208"/>
      <c r="G866" s="226"/>
      <c r="H866" s="253"/>
      <c r="I866" s="253"/>
      <c r="J866" s="253"/>
      <c r="K866" s="253"/>
      <c r="L866" s="253"/>
      <c r="M866" s="253"/>
      <c r="N866" s="253"/>
      <c r="O866" s="253"/>
      <c r="P866" s="253"/>
      <c r="Q866" s="253"/>
      <c r="R866" s="253"/>
      <c r="S866" s="253"/>
      <c r="EH866" s="3"/>
      <c r="GS866" s="3"/>
    </row>
    <row r="867" spans="1:256" s="2" customFormat="1" ht="15.75" x14ac:dyDescent="0.2">
      <c r="A867" s="244" t="s">
        <v>349</v>
      </c>
      <c r="B867" s="381" t="s">
        <v>1060</v>
      </c>
      <c r="C867" s="122" t="s">
        <v>1053</v>
      </c>
      <c r="D867" s="389">
        <f>69.58</f>
        <v>69.58</v>
      </c>
      <c r="E867" s="96"/>
      <c r="F867" s="154">
        <f>D867+E867</f>
        <v>69.58</v>
      </c>
      <c r="G867" s="226"/>
      <c r="H867" s="253"/>
      <c r="I867" s="253"/>
      <c r="J867" s="253"/>
      <c r="K867" s="253"/>
      <c r="L867" s="253"/>
      <c r="M867" s="253"/>
      <c r="N867" s="253"/>
      <c r="O867" s="253"/>
      <c r="P867" s="253"/>
      <c r="Q867" s="253"/>
      <c r="R867" s="253"/>
      <c r="S867" s="253"/>
      <c r="EH867" s="3"/>
      <c r="GS867" s="3"/>
      <c r="HM867" s="2">
        <v>82.1</v>
      </c>
      <c r="IT867" s="2">
        <f>HM867/1.18</f>
        <v>69.576271186440707</v>
      </c>
      <c r="IU867" s="301">
        <f>42.45*1.04</f>
        <v>44.15</v>
      </c>
      <c r="IV867" s="312">
        <f>44.15*1.045</f>
        <v>46.14</v>
      </c>
    </row>
    <row r="868" spans="1:256" s="2" customFormat="1" ht="18.75" customHeight="1" x14ac:dyDescent="0.2">
      <c r="A868" s="244" t="s">
        <v>351</v>
      </c>
      <c r="B868" s="381" t="s">
        <v>1143</v>
      </c>
      <c r="C868" s="122" t="s">
        <v>1053</v>
      </c>
      <c r="D868" s="389">
        <f>108.79</f>
        <v>108.79</v>
      </c>
      <c r="E868" s="96"/>
      <c r="F868" s="154"/>
      <c r="G868" s="226"/>
      <c r="H868" s="253"/>
      <c r="I868" s="253"/>
      <c r="J868" s="253"/>
      <c r="K868" s="253"/>
      <c r="L868" s="253"/>
      <c r="M868" s="253"/>
      <c r="N868" s="253"/>
      <c r="O868" s="253"/>
      <c r="P868" s="253"/>
      <c r="Q868" s="253"/>
      <c r="R868" s="253"/>
      <c r="S868" s="253"/>
      <c r="EH868" s="3"/>
      <c r="GS868" s="3"/>
      <c r="IU868" s="313"/>
      <c r="IV868" s="312"/>
    </row>
    <row r="869" spans="1:256" s="2" customFormat="1" ht="28.5" customHeight="1" x14ac:dyDescent="0.2">
      <c r="A869" s="245" t="s">
        <v>1829</v>
      </c>
      <c r="B869" s="381" t="s">
        <v>1144</v>
      </c>
      <c r="C869" s="122" t="s">
        <v>1053</v>
      </c>
      <c r="D869" s="389">
        <f>92.52</f>
        <v>92.52</v>
      </c>
      <c r="E869" s="96"/>
      <c r="F869" s="154">
        <f>D869+E869</f>
        <v>92.52</v>
      </c>
      <c r="G869" s="226"/>
      <c r="H869" s="253"/>
      <c r="I869" s="253"/>
      <c r="J869" s="253"/>
      <c r="K869" s="253"/>
      <c r="L869" s="253"/>
      <c r="M869" s="253"/>
      <c r="N869" s="253"/>
      <c r="O869" s="253"/>
      <c r="P869" s="253"/>
      <c r="Q869" s="253"/>
      <c r="R869" s="253"/>
      <c r="S869" s="253"/>
      <c r="EH869" s="3"/>
      <c r="GS869" s="3"/>
      <c r="IU869" s="301">
        <f>85.13*1.04</f>
        <v>88.54</v>
      </c>
      <c r="IV869" s="312">
        <f>88.54*1.045</f>
        <v>92.52</v>
      </c>
    </row>
    <row r="870" spans="1:256" s="2" customFormat="1" ht="48" customHeight="1" x14ac:dyDescent="0.2">
      <c r="A870" s="245" t="s">
        <v>68</v>
      </c>
      <c r="B870" s="397" t="s">
        <v>1145</v>
      </c>
      <c r="C870" s="122" t="s">
        <v>1053</v>
      </c>
      <c r="D870" s="389">
        <f>469.07</f>
        <v>469.07</v>
      </c>
      <c r="E870" s="96"/>
      <c r="F870" s="154">
        <f>D870+E870</f>
        <v>469.07</v>
      </c>
      <c r="G870" s="226"/>
      <c r="H870" s="253"/>
      <c r="I870" s="253"/>
      <c r="J870" s="253"/>
      <c r="K870" s="253"/>
      <c r="L870" s="253"/>
      <c r="M870" s="253"/>
      <c r="N870" s="253"/>
      <c r="O870" s="253"/>
      <c r="P870" s="253"/>
      <c r="Q870" s="253"/>
      <c r="R870" s="253"/>
      <c r="S870" s="253"/>
      <c r="EH870" s="3" t="s">
        <v>1054</v>
      </c>
      <c r="GS870" s="3"/>
    </row>
    <row r="871" spans="1:256" s="2" customFormat="1" ht="31.5" hidden="1" x14ac:dyDescent="0.2">
      <c r="A871" s="245" t="s">
        <v>1830</v>
      </c>
      <c r="B871" s="397" t="s">
        <v>1146</v>
      </c>
      <c r="C871" s="122" t="s">
        <v>1053</v>
      </c>
      <c r="D871" s="389">
        <f>437.31</f>
        <v>437.31</v>
      </c>
      <c r="E871" s="96"/>
      <c r="F871" s="154">
        <f>D871+E871</f>
        <v>437.31</v>
      </c>
      <c r="G871" s="226"/>
      <c r="H871" s="253"/>
      <c r="I871" s="253"/>
      <c r="J871" s="253"/>
      <c r="K871" s="253"/>
      <c r="L871" s="253"/>
      <c r="M871" s="253"/>
      <c r="N871" s="253"/>
      <c r="O871" s="253"/>
      <c r="P871" s="253"/>
      <c r="Q871" s="253"/>
      <c r="R871" s="253"/>
      <c r="S871" s="253"/>
      <c r="EH871" s="3" t="s">
        <v>1054</v>
      </c>
      <c r="GS871" s="3"/>
    </row>
    <row r="872" spans="1:256" s="2" customFormat="1" ht="54.75" hidden="1" customHeight="1" x14ac:dyDescent="0.2">
      <c r="A872" s="245" t="s">
        <v>1830</v>
      </c>
      <c r="B872" s="397" t="s">
        <v>1147</v>
      </c>
      <c r="C872" s="122" t="s">
        <v>1053</v>
      </c>
      <c r="D872" s="389">
        <f>106.13</f>
        <v>106.13</v>
      </c>
      <c r="E872" s="96"/>
      <c r="F872" s="154">
        <f t="shared" ref="F872:F905" si="47">D872+E872</f>
        <v>106.13</v>
      </c>
      <c r="G872" s="226"/>
      <c r="H872" s="253"/>
      <c r="I872" s="253"/>
      <c r="J872" s="253"/>
      <c r="K872" s="253"/>
      <c r="L872" s="253"/>
      <c r="M872" s="253"/>
      <c r="N872" s="253"/>
      <c r="O872" s="253"/>
      <c r="P872" s="253"/>
      <c r="Q872" s="253"/>
      <c r="R872" s="253"/>
      <c r="S872" s="253"/>
      <c r="EH872" s="3"/>
      <c r="GS872" s="3"/>
      <c r="IU872" s="301">
        <f>97.65*1.04</f>
        <v>101.56</v>
      </c>
      <c r="IV872" s="312">
        <f>101.56*1.045</f>
        <v>106.13</v>
      </c>
    </row>
    <row r="873" spans="1:256" s="2" customFormat="1" ht="31.5" hidden="1" x14ac:dyDescent="0.2">
      <c r="A873" s="245" t="s">
        <v>1830</v>
      </c>
      <c r="B873" s="397" t="s">
        <v>1148</v>
      </c>
      <c r="C873" s="122" t="s">
        <v>1053</v>
      </c>
      <c r="D873" s="389">
        <f>64.75</f>
        <v>64.75</v>
      </c>
      <c r="E873" s="96"/>
      <c r="F873" s="154">
        <f t="shared" si="47"/>
        <v>64.75</v>
      </c>
      <c r="G873" s="226"/>
      <c r="H873" s="253"/>
      <c r="I873" s="253"/>
      <c r="J873" s="253"/>
      <c r="K873" s="253"/>
      <c r="L873" s="253"/>
      <c r="M873" s="253"/>
      <c r="N873" s="253"/>
      <c r="O873" s="253"/>
      <c r="P873" s="253"/>
      <c r="Q873" s="253"/>
      <c r="R873" s="253"/>
      <c r="S873" s="253"/>
      <c r="EH873" s="3"/>
      <c r="GS873" s="3"/>
      <c r="HM873" s="2">
        <v>76.400000000000006</v>
      </c>
      <c r="IT873" s="2">
        <f>HM873/1.18</f>
        <v>64.745762711864401</v>
      </c>
      <c r="IU873" s="301">
        <f>29.66*1.04</f>
        <v>30.85</v>
      </c>
      <c r="IV873" s="312">
        <f>30.85*1.045</f>
        <v>32.24</v>
      </c>
    </row>
    <row r="874" spans="1:256" s="2" customFormat="1" ht="31.5" hidden="1" x14ac:dyDescent="0.2">
      <c r="A874" s="245" t="s">
        <v>1830</v>
      </c>
      <c r="B874" s="397" t="s">
        <v>1149</v>
      </c>
      <c r="C874" s="122" t="s">
        <v>1053</v>
      </c>
      <c r="D874" s="389">
        <f>135.87</f>
        <v>135.87</v>
      </c>
      <c r="E874" s="96"/>
      <c r="F874" s="154">
        <f t="shared" si="47"/>
        <v>135.87</v>
      </c>
      <c r="G874" s="226"/>
      <c r="H874" s="253"/>
      <c r="I874" s="253"/>
      <c r="J874" s="253"/>
      <c r="K874" s="253"/>
      <c r="L874" s="253"/>
      <c r="M874" s="253"/>
      <c r="N874" s="253"/>
      <c r="O874" s="253"/>
      <c r="P874" s="253"/>
      <c r="Q874" s="253"/>
      <c r="R874" s="253"/>
      <c r="S874" s="253"/>
      <c r="EH874" s="3"/>
      <c r="GS874" s="3"/>
      <c r="HM874" s="2">
        <v>160.32</v>
      </c>
      <c r="IT874" s="2">
        <f>HM874/1.18</f>
        <v>135.86440677966101</v>
      </c>
      <c r="IU874" s="301">
        <f>106.19*1.04</f>
        <v>110.44</v>
      </c>
      <c r="IV874" s="312">
        <f>110.44*1.045</f>
        <v>115.41</v>
      </c>
    </row>
    <row r="875" spans="1:256" s="2" customFormat="1" ht="15.75" hidden="1" x14ac:dyDescent="0.2">
      <c r="A875" s="245" t="s">
        <v>1830</v>
      </c>
      <c r="B875" s="397" t="s">
        <v>1150</v>
      </c>
      <c r="C875" s="122" t="s">
        <v>1053</v>
      </c>
      <c r="D875" s="389">
        <f>794.9</f>
        <v>794.9</v>
      </c>
      <c r="E875" s="96"/>
      <c r="F875" s="154">
        <f>D875+E875</f>
        <v>794.9</v>
      </c>
      <c r="G875" s="226"/>
      <c r="H875" s="253"/>
      <c r="I875" s="253"/>
      <c r="J875" s="253"/>
      <c r="K875" s="253"/>
      <c r="L875" s="253"/>
      <c r="M875" s="253"/>
      <c r="N875" s="253"/>
      <c r="O875" s="253"/>
      <c r="P875" s="253"/>
      <c r="Q875" s="253"/>
      <c r="R875" s="253"/>
      <c r="S875" s="253"/>
      <c r="EH875" s="3"/>
      <c r="GS875" s="3"/>
      <c r="HM875" s="2">
        <v>937.97</v>
      </c>
      <c r="IT875" s="2">
        <f>HM875/1.18</f>
        <v>794.88983050847503</v>
      </c>
      <c r="IU875" s="301">
        <f>601.35*1.04</f>
        <v>625.4</v>
      </c>
      <c r="IV875" s="312">
        <f>625.4*1.045</f>
        <v>653.54</v>
      </c>
    </row>
    <row r="876" spans="1:256" s="2" customFormat="1" ht="31.5" hidden="1" x14ac:dyDescent="0.2">
      <c r="A876" s="245" t="s">
        <v>1830</v>
      </c>
      <c r="B876" s="397" t="s">
        <v>1151</v>
      </c>
      <c r="C876" s="122" t="s">
        <v>1053</v>
      </c>
      <c r="D876" s="389">
        <f>204.43</f>
        <v>204.43</v>
      </c>
      <c r="E876" s="96"/>
      <c r="F876" s="154">
        <f>D876+E876</f>
        <v>204.43</v>
      </c>
      <c r="G876" s="226"/>
      <c r="H876" s="253"/>
      <c r="I876" s="253"/>
      <c r="J876" s="253"/>
      <c r="K876" s="253"/>
      <c r="L876" s="253"/>
      <c r="M876" s="253"/>
      <c r="N876" s="253"/>
      <c r="O876" s="253"/>
      <c r="P876" s="253"/>
      <c r="Q876" s="253"/>
      <c r="R876" s="253"/>
      <c r="S876" s="253"/>
      <c r="EH876" s="3"/>
      <c r="GS876" s="3"/>
      <c r="IU876" s="301">
        <f>917.85*1.04</f>
        <v>954.56</v>
      </c>
      <c r="IV876" s="312">
        <f>954.56*1.045</f>
        <v>997.52</v>
      </c>
    </row>
    <row r="877" spans="1:256" s="2" customFormat="1" ht="33" hidden="1" customHeight="1" x14ac:dyDescent="0.2">
      <c r="A877" s="245" t="s">
        <v>1830</v>
      </c>
      <c r="B877" s="397" t="s">
        <v>1152</v>
      </c>
      <c r="C877" s="122" t="s">
        <v>1053</v>
      </c>
      <c r="D877" s="389">
        <f>476.06</f>
        <v>476.06</v>
      </c>
      <c r="E877" s="96"/>
      <c r="F877" s="154">
        <f t="shared" si="47"/>
        <v>476.06</v>
      </c>
      <c r="G877" s="226"/>
      <c r="H877" s="253"/>
      <c r="I877" s="253"/>
      <c r="J877" s="253"/>
      <c r="K877" s="253"/>
      <c r="L877" s="253"/>
      <c r="M877" s="253"/>
      <c r="N877" s="253"/>
      <c r="O877" s="253"/>
      <c r="P877" s="253"/>
      <c r="Q877" s="253"/>
      <c r="R877" s="253"/>
      <c r="S877" s="253"/>
      <c r="EH877" s="3"/>
      <c r="GS877" s="3"/>
      <c r="IU877" s="301">
        <f>438.04*1.04</f>
        <v>455.56</v>
      </c>
      <c r="IV877" s="312">
        <f>455.56*1.045</f>
        <v>476.06</v>
      </c>
    </row>
    <row r="878" spans="1:256" s="2" customFormat="1" ht="33" hidden="1" customHeight="1" x14ac:dyDescent="0.2">
      <c r="A878" s="245" t="s">
        <v>1830</v>
      </c>
      <c r="B878" s="397" t="s">
        <v>1153</v>
      </c>
      <c r="C878" s="122" t="s">
        <v>1053</v>
      </c>
      <c r="D878" s="389">
        <f>441.58</f>
        <v>441.58</v>
      </c>
      <c r="E878" s="96"/>
      <c r="F878" s="154">
        <f>D878+E878</f>
        <v>441.58</v>
      </c>
      <c r="G878" s="226"/>
      <c r="H878" s="253"/>
      <c r="I878" s="253"/>
      <c r="J878" s="253"/>
      <c r="K878" s="253"/>
      <c r="L878" s="253"/>
      <c r="M878" s="253"/>
      <c r="N878" s="253"/>
      <c r="O878" s="253"/>
      <c r="P878" s="253"/>
      <c r="Q878" s="253"/>
      <c r="R878" s="253"/>
      <c r="S878" s="253"/>
      <c r="EH878" s="3"/>
      <c r="GS878" s="3"/>
      <c r="IU878" s="301">
        <v>422.56</v>
      </c>
      <c r="IV878" s="312">
        <f>422.56*1.045</f>
        <v>441.58</v>
      </c>
    </row>
    <row r="879" spans="1:256" s="2" customFormat="1" ht="30" hidden="1" customHeight="1" x14ac:dyDescent="0.2">
      <c r="A879" s="245" t="s">
        <v>1830</v>
      </c>
      <c r="B879" s="397" t="s">
        <v>1154</v>
      </c>
      <c r="C879" s="122" t="s">
        <v>1053</v>
      </c>
      <c r="D879" s="389">
        <f>93.21</f>
        <v>93.21</v>
      </c>
      <c r="E879" s="96"/>
      <c r="F879" s="154">
        <f>D879+E879</f>
        <v>93.21</v>
      </c>
      <c r="G879" s="226"/>
      <c r="H879" s="253"/>
      <c r="I879" s="253"/>
      <c r="J879" s="253"/>
      <c r="K879" s="253"/>
      <c r="L879" s="253"/>
      <c r="M879" s="253"/>
      <c r="N879" s="253"/>
      <c r="O879" s="253"/>
      <c r="P879" s="253"/>
      <c r="Q879" s="253"/>
      <c r="R879" s="253"/>
      <c r="S879" s="253"/>
      <c r="EH879" s="3"/>
      <c r="GS879" s="3"/>
      <c r="IU879" s="301">
        <v>89.2</v>
      </c>
      <c r="IV879" s="312">
        <f>89.2*1.045</f>
        <v>93.21</v>
      </c>
    </row>
    <row r="880" spans="1:256" s="2" customFormat="1" ht="49.5" hidden="1" customHeight="1" x14ac:dyDescent="0.2">
      <c r="A880" s="245" t="s">
        <v>1830</v>
      </c>
      <c r="B880" s="397" t="s">
        <v>1155</v>
      </c>
      <c r="C880" s="122" t="s">
        <v>1053</v>
      </c>
      <c r="D880" s="389">
        <f>382.1</f>
        <v>382.1</v>
      </c>
      <c r="E880" s="96"/>
      <c r="F880" s="154">
        <f t="shared" si="47"/>
        <v>382.1</v>
      </c>
      <c r="G880" s="226"/>
      <c r="H880" s="253"/>
      <c r="I880" s="253"/>
      <c r="J880" s="253"/>
      <c r="K880" s="253"/>
      <c r="L880" s="253"/>
      <c r="M880" s="253"/>
      <c r="N880" s="253"/>
      <c r="O880" s="253"/>
      <c r="P880" s="253"/>
      <c r="Q880" s="253"/>
      <c r="R880" s="253"/>
      <c r="S880" s="253"/>
      <c r="EH880" s="3"/>
      <c r="GS880" s="3"/>
      <c r="IU880" s="301">
        <f>351.59*1.04</f>
        <v>365.65</v>
      </c>
      <c r="IV880" s="312">
        <f>365.65*1.045</f>
        <v>382.1</v>
      </c>
    </row>
    <row r="881" spans="1:256" s="2" customFormat="1" ht="63" hidden="1" x14ac:dyDescent="0.2">
      <c r="A881" s="245" t="s">
        <v>1830</v>
      </c>
      <c r="B881" s="397" t="s">
        <v>1156</v>
      </c>
      <c r="C881" s="122" t="s">
        <v>1053</v>
      </c>
      <c r="D881" s="389">
        <f>293.93</f>
        <v>293.93</v>
      </c>
      <c r="E881" s="96"/>
      <c r="F881" s="154">
        <f t="shared" si="47"/>
        <v>293.93</v>
      </c>
      <c r="G881" s="226"/>
      <c r="H881" s="253"/>
      <c r="I881" s="253"/>
      <c r="J881" s="253"/>
      <c r="K881" s="253"/>
      <c r="L881" s="253"/>
      <c r="M881" s="253"/>
      <c r="N881" s="253"/>
      <c r="O881" s="253"/>
      <c r="P881" s="253"/>
      <c r="Q881" s="253"/>
      <c r="R881" s="253"/>
      <c r="S881" s="253"/>
      <c r="EH881" s="3"/>
      <c r="GS881" s="3"/>
      <c r="IU881" s="301">
        <f>270.45*1.04</f>
        <v>281.27</v>
      </c>
      <c r="IV881" s="312">
        <f>281.27*1.045</f>
        <v>293.93</v>
      </c>
    </row>
    <row r="882" spans="1:256" s="2" customFormat="1" ht="54" hidden="1" customHeight="1" x14ac:dyDescent="0.2">
      <c r="A882" s="245" t="s">
        <v>1830</v>
      </c>
      <c r="B882" s="397" t="s">
        <v>1157</v>
      </c>
      <c r="C882" s="122" t="s">
        <v>1053</v>
      </c>
      <c r="D882" s="389">
        <f>115.58</f>
        <v>115.58</v>
      </c>
      <c r="E882" s="96"/>
      <c r="F882" s="154">
        <f t="shared" si="47"/>
        <v>115.58</v>
      </c>
      <c r="G882" s="226"/>
      <c r="H882" s="253"/>
      <c r="I882" s="253"/>
      <c r="J882" s="253"/>
      <c r="K882" s="253"/>
      <c r="L882" s="253"/>
      <c r="M882" s="253"/>
      <c r="N882" s="253"/>
      <c r="O882" s="253"/>
      <c r="P882" s="253"/>
      <c r="Q882" s="253"/>
      <c r="R882" s="253"/>
      <c r="S882" s="253"/>
      <c r="EH882" s="3"/>
      <c r="GS882" s="3"/>
      <c r="IU882" s="301">
        <f>106.35*1.04</f>
        <v>110.6</v>
      </c>
      <c r="IV882" s="312">
        <f>110.6*1.045</f>
        <v>115.58</v>
      </c>
    </row>
    <row r="883" spans="1:256" s="2" customFormat="1" ht="54.75" hidden="1" customHeight="1" x14ac:dyDescent="0.2">
      <c r="A883" s="245" t="s">
        <v>1830</v>
      </c>
      <c r="B883" s="397" t="s">
        <v>1158</v>
      </c>
      <c r="C883" s="122" t="s">
        <v>1026</v>
      </c>
      <c r="D883" s="389">
        <f>1017.2</f>
        <v>1017.2</v>
      </c>
      <c r="E883" s="96"/>
      <c r="F883" s="154">
        <f t="shared" si="47"/>
        <v>1017.2</v>
      </c>
      <c r="G883" s="226"/>
      <c r="H883" s="253"/>
      <c r="I883" s="253"/>
      <c r="J883" s="253"/>
      <c r="K883" s="253"/>
      <c r="L883" s="253"/>
      <c r="M883" s="253"/>
      <c r="N883" s="253"/>
      <c r="O883" s="253"/>
      <c r="P883" s="253"/>
      <c r="Q883" s="253"/>
      <c r="R883" s="253"/>
      <c r="S883" s="253"/>
      <c r="EH883" s="3"/>
      <c r="GS883" s="3"/>
      <c r="HM883" s="2">
        <v>1200.3</v>
      </c>
      <c r="IT883" s="2">
        <f>HM883/1.18</f>
        <v>1017.20338983051</v>
      </c>
      <c r="IU883" s="301">
        <f>538.05*1.04</f>
        <v>559.57000000000005</v>
      </c>
      <c r="IV883" s="312">
        <f>559.57*1.045</f>
        <v>584.75</v>
      </c>
    </row>
    <row r="884" spans="1:256" s="2" customFormat="1" ht="78" hidden="1" customHeight="1" x14ac:dyDescent="0.2">
      <c r="A884" s="245" t="s">
        <v>1830</v>
      </c>
      <c r="B884" s="403" t="s">
        <v>1159</v>
      </c>
      <c r="C884" s="122" t="s">
        <v>1053</v>
      </c>
      <c r="D884" s="389">
        <f>1147.46</f>
        <v>1147.46</v>
      </c>
      <c r="E884" s="96"/>
      <c r="F884" s="154">
        <f t="shared" si="47"/>
        <v>1147.46</v>
      </c>
      <c r="G884" s="226"/>
      <c r="H884" s="253"/>
      <c r="I884" s="253"/>
      <c r="J884" s="253"/>
      <c r="K884" s="253"/>
      <c r="L884" s="253"/>
      <c r="M884" s="253"/>
      <c r="N884" s="253"/>
      <c r="O884" s="253"/>
      <c r="P884" s="253"/>
      <c r="Q884" s="253"/>
      <c r="R884" s="253"/>
      <c r="S884" s="253"/>
      <c r="EH884" s="3"/>
      <c r="GS884" s="3"/>
      <c r="IU884" s="301">
        <f>1055.82*1.04</f>
        <v>1098.05</v>
      </c>
      <c r="IV884" s="312">
        <f>1098.05*1.045</f>
        <v>1147.46</v>
      </c>
    </row>
    <row r="885" spans="1:256" s="2" customFormat="1" ht="32.25" hidden="1" customHeight="1" x14ac:dyDescent="0.25">
      <c r="A885" s="245" t="s">
        <v>1830</v>
      </c>
      <c r="B885" s="128" t="s">
        <v>1160</v>
      </c>
      <c r="C885" s="122" t="s">
        <v>1053</v>
      </c>
      <c r="D885" s="389">
        <f>136.27</f>
        <v>136.27000000000001</v>
      </c>
      <c r="E885" s="96"/>
      <c r="F885" s="154">
        <f t="shared" si="47"/>
        <v>136.27000000000001</v>
      </c>
      <c r="G885" s="226"/>
      <c r="H885" s="253"/>
      <c r="I885" s="253"/>
      <c r="J885" s="253"/>
      <c r="K885" s="253"/>
      <c r="L885" s="253"/>
      <c r="M885" s="253"/>
      <c r="N885" s="253"/>
      <c r="O885" s="253"/>
      <c r="P885" s="253"/>
      <c r="Q885" s="253"/>
      <c r="R885" s="253"/>
      <c r="S885" s="253"/>
      <c r="EH885" s="3"/>
      <c r="GS885" s="3"/>
      <c r="HM885" s="2">
        <v>160.80000000000001</v>
      </c>
      <c r="IT885" s="2">
        <f>HM885/1.18</f>
        <v>136.27118644067801</v>
      </c>
      <c r="IU885" s="301">
        <f>72.36*1.04</f>
        <v>75.25</v>
      </c>
      <c r="IV885" s="312">
        <f>75.25*1.045</f>
        <v>78.64</v>
      </c>
    </row>
    <row r="886" spans="1:256" s="2" customFormat="1" ht="31.5" x14ac:dyDescent="0.2">
      <c r="A886" s="245" t="s">
        <v>71</v>
      </c>
      <c r="B886" s="127" t="s">
        <v>1161</v>
      </c>
      <c r="C886" s="122" t="s">
        <v>1053</v>
      </c>
      <c r="D886" s="389">
        <f>370.36</f>
        <v>370.36</v>
      </c>
      <c r="E886" s="96"/>
      <c r="F886" s="154">
        <f>D886+E886</f>
        <v>370.36</v>
      </c>
      <c r="G886" s="226"/>
      <c r="H886" s="253"/>
      <c r="I886" s="253"/>
      <c r="J886" s="253"/>
      <c r="K886" s="253"/>
      <c r="L886" s="253"/>
      <c r="M886" s="253"/>
      <c r="N886" s="253"/>
      <c r="O886" s="253"/>
      <c r="P886" s="253"/>
      <c r="Q886" s="253"/>
      <c r="R886" s="253"/>
      <c r="S886" s="253"/>
      <c r="EH886" s="3" t="s">
        <v>1054</v>
      </c>
      <c r="GS886" s="3"/>
    </row>
    <row r="887" spans="1:256" s="2" customFormat="1" ht="31.5" x14ac:dyDescent="0.25">
      <c r="A887" s="245" t="s">
        <v>73</v>
      </c>
      <c r="B887" s="128" t="s">
        <v>1162</v>
      </c>
      <c r="C887" s="122" t="s">
        <v>1053</v>
      </c>
      <c r="D887" s="389">
        <f>439.03</f>
        <v>439.03</v>
      </c>
      <c r="E887" s="96"/>
      <c r="F887" s="154">
        <f t="shared" si="47"/>
        <v>439.03</v>
      </c>
      <c r="G887" s="226"/>
      <c r="H887" s="253"/>
      <c r="I887" s="253"/>
      <c r="J887" s="253"/>
      <c r="K887" s="253"/>
      <c r="L887" s="253"/>
      <c r="M887" s="253"/>
      <c r="N887" s="253"/>
      <c r="O887" s="253"/>
      <c r="P887" s="253"/>
      <c r="Q887" s="253"/>
      <c r="R887" s="253"/>
      <c r="S887" s="253"/>
      <c r="EH887" s="3" t="s">
        <v>1054</v>
      </c>
      <c r="GS887" s="3"/>
    </row>
    <row r="888" spans="1:256" s="2" customFormat="1" ht="31.5" x14ac:dyDescent="0.25">
      <c r="A888" s="245" t="s">
        <v>75</v>
      </c>
      <c r="B888" s="128" t="s">
        <v>1163</v>
      </c>
      <c r="C888" s="122" t="s">
        <v>1053</v>
      </c>
      <c r="D888" s="389">
        <f>442.18</f>
        <v>442.18</v>
      </c>
      <c r="E888" s="96"/>
      <c r="F888" s="154">
        <f>D888+E888</f>
        <v>442.18</v>
      </c>
      <c r="G888" s="226"/>
      <c r="H888" s="253"/>
      <c r="I888" s="253"/>
      <c r="J888" s="253"/>
      <c r="K888" s="253"/>
      <c r="L888" s="253"/>
      <c r="M888" s="253"/>
      <c r="N888" s="253"/>
      <c r="O888" s="253"/>
      <c r="P888" s="253"/>
      <c r="Q888" s="253"/>
      <c r="R888" s="253"/>
      <c r="S888" s="253"/>
      <c r="EH888" s="3" t="s">
        <v>1054</v>
      </c>
      <c r="GS888" s="3"/>
    </row>
    <row r="889" spans="1:256" s="2" customFormat="1" ht="25.5" hidden="1" customHeight="1" x14ac:dyDescent="0.2">
      <c r="A889" s="245" t="s">
        <v>1830</v>
      </c>
      <c r="B889" s="397" t="s">
        <v>1164</v>
      </c>
      <c r="C889" s="122" t="s">
        <v>1053</v>
      </c>
      <c r="D889" s="389">
        <f>412.81</f>
        <v>412.81</v>
      </c>
      <c r="E889" s="96"/>
      <c r="F889" s="154">
        <f t="shared" si="47"/>
        <v>412.81</v>
      </c>
      <c r="G889" s="226"/>
      <c r="H889" s="253"/>
      <c r="I889" s="253"/>
      <c r="J889" s="253"/>
      <c r="K889" s="253"/>
      <c r="L889" s="253"/>
      <c r="M889" s="253"/>
      <c r="N889" s="253"/>
      <c r="O889" s="253"/>
      <c r="P889" s="253"/>
      <c r="Q889" s="253"/>
      <c r="R889" s="253"/>
      <c r="S889" s="253"/>
      <c r="EH889" s="3"/>
      <c r="GS889" s="3"/>
      <c r="IU889" s="301">
        <f>379.84*1.04</f>
        <v>395.03</v>
      </c>
      <c r="IV889" s="312">
        <f>395.03*1.045</f>
        <v>412.81</v>
      </c>
    </row>
    <row r="890" spans="1:256" s="2" customFormat="1" ht="31.5" hidden="1" x14ac:dyDescent="0.25">
      <c r="A890" s="245" t="s">
        <v>1830</v>
      </c>
      <c r="B890" s="401" t="s">
        <v>1165</v>
      </c>
      <c r="C890" s="122" t="s">
        <v>1053</v>
      </c>
      <c r="D890" s="389">
        <f>114.73</f>
        <v>114.73</v>
      </c>
      <c r="E890" s="96"/>
      <c r="F890" s="154">
        <f>D890+E890</f>
        <v>114.73</v>
      </c>
      <c r="G890" s="226"/>
      <c r="H890" s="253"/>
      <c r="I890" s="253"/>
      <c r="J890" s="253"/>
      <c r="K890" s="253"/>
      <c r="L890" s="253"/>
      <c r="M890" s="253"/>
      <c r="N890" s="253"/>
      <c r="O890" s="253"/>
      <c r="P890" s="253"/>
      <c r="Q890" s="253"/>
      <c r="R890" s="253"/>
      <c r="S890" s="253"/>
      <c r="EH890" s="3"/>
      <c r="GS890" s="3"/>
      <c r="IU890" s="301">
        <f>105.57*1.04</f>
        <v>109.79</v>
      </c>
      <c r="IV890" s="312">
        <f>109.79*1.045</f>
        <v>114.73</v>
      </c>
    </row>
    <row r="891" spans="1:256" s="2" customFormat="1" ht="15.75" hidden="1" x14ac:dyDescent="0.25">
      <c r="A891" s="245" t="s">
        <v>1830</v>
      </c>
      <c r="B891" s="401" t="s">
        <v>1166</v>
      </c>
      <c r="C891" s="122" t="s">
        <v>1053</v>
      </c>
      <c r="D891" s="389">
        <f>171.99</f>
        <v>171.99</v>
      </c>
      <c r="E891" s="96"/>
      <c r="F891" s="154">
        <f t="shared" si="47"/>
        <v>171.99</v>
      </c>
      <c r="G891" s="226"/>
      <c r="H891" s="253"/>
      <c r="I891" s="253"/>
      <c r="J891" s="253"/>
      <c r="K891" s="253"/>
      <c r="L891" s="253"/>
      <c r="M891" s="253"/>
      <c r="N891" s="253"/>
      <c r="O891" s="253"/>
      <c r="P891" s="253"/>
      <c r="Q891" s="253"/>
      <c r="R891" s="253"/>
      <c r="S891" s="253"/>
      <c r="EH891" s="3"/>
      <c r="GS891" s="3"/>
      <c r="IU891" s="301">
        <f>158.25*1.04</f>
        <v>164.58</v>
      </c>
      <c r="IV891" s="312">
        <f>164.58*1.045</f>
        <v>171.99</v>
      </c>
    </row>
    <row r="892" spans="1:256" s="2" customFormat="1" ht="21" hidden="1" customHeight="1" x14ac:dyDescent="0.2">
      <c r="A892" s="245" t="s">
        <v>1830</v>
      </c>
      <c r="B892" s="397" t="s">
        <v>1167</v>
      </c>
      <c r="C892" s="122" t="s">
        <v>1053</v>
      </c>
      <c r="D892" s="389">
        <f>194.91</f>
        <v>194.91</v>
      </c>
      <c r="E892" s="96"/>
      <c r="F892" s="154">
        <f t="shared" si="47"/>
        <v>194.91</v>
      </c>
      <c r="G892" s="226"/>
      <c r="H892" s="253"/>
      <c r="I892" s="253"/>
      <c r="J892" s="253"/>
      <c r="K892" s="253"/>
      <c r="L892" s="253"/>
      <c r="M892" s="253"/>
      <c r="N892" s="253"/>
      <c r="O892" s="253"/>
      <c r="P892" s="253"/>
      <c r="Q892" s="253"/>
      <c r="R892" s="253"/>
      <c r="S892" s="253"/>
      <c r="EH892" s="3"/>
      <c r="GS892" s="3"/>
      <c r="IU892" s="301">
        <f>179.35*1.04</f>
        <v>186.52</v>
      </c>
      <c r="IV892" s="312">
        <f>186.52*1.045</f>
        <v>194.91</v>
      </c>
    </row>
    <row r="893" spans="1:256" s="2" customFormat="1" ht="31.5" customHeight="1" x14ac:dyDescent="0.2">
      <c r="A893" s="245" t="s">
        <v>77</v>
      </c>
      <c r="B893" s="406" t="s">
        <v>1168</v>
      </c>
      <c r="C893" s="122" t="s">
        <v>1053</v>
      </c>
      <c r="D893" s="389">
        <v>447.43</v>
      </c>
      <c r="E893" s="96"/>
      <c r="F893" s="154">
        <f t="shared" si="47"/>
        <v>447.43</v>
      </c>
      <c r="G893" s="226"/>
      <c r="H893" s="253"/>
      <c r="I893" s="253"/>
      <c r="J893" s="253"/>
      <c r="K893" s="253"/>
      <c r="L893" s="253"/>
      <c r="M893" s="253"/>
      <c r="N893" s="253"/>
      <c r="O893" s="253"/>
      <c r="P893" s="253"/>
      <c r="Q893" s="253"/>
      <c r="R893" s="253"/>
      <c r="S893" s="253"/>
      <c r="EH893" s="3" t="s">
        <v>1054</v>
      </c>
      <c r="GS893" s="3"/>
    </row>
    <row r="894" spans="1:256" s="2" customFormat="1" ht="69" hidden="1" customHeight="1" x14ac:dyDescent="0.2">
      <c r="A894" s="245" t="s">
        <v>1831</v>
      </c>
      <c r="B894" s="406" t="s">
        <v>1168</v>
      </c>
      <c r="C894" s="122" t="s">
        <v>1832</v>
      </c>
      <c r="D894" s="389">
        <v>448.43</v>
      </c>
      <c r="E894" s="96">
        <f>D894*20%</f>
        <v>89.69</v>
      </c>
      <c r="F894" s="154">
        <f t="shared" si="47"/>
        <v>538.12</v>
      </c>
      <c r="G894" s="226"/>
      <c r="H894" s="253"/>
      <c r="I894" s="253"/>
      <c r="J894" s="253"/>
      <c r="K894" s="253"/>
      <c r="L894" s="253"/>
      <c r="M894" s="253"/>
      <c r="N894" s="253"/>
      <c r="O894" s="253"/>
      <c r="P894" s="253"/>
      <c r="Q894" s="253"/>
      <c r="R894" s="253"/>
      <c r="S894" s="253"/>
      <c r="EH894" s="3"/>
      <c r="GS894" s="3"/>
      <c r="IU894" s="301">
        <v>1656.2</v>
      </c>
      <c r="IV894" s="312">
        <f>1656.2*1.045</f>
        <v>1730.73</v>
      </c>
    </row>
    <row r="895" spans="1:256" s="2" customFormat="1" ht="25.5" hidden="1" customHeight="1" x14ac:dyDescent="0.2">
      <c r="A895" s="245" t="s">
        <v>1831</v>
      </c>
      <c r="B895" s="406" t="s">
        <v>1168</v>
      </c>
      <c r="C895" s="122" t="s">
        <v>1833</v>
      </c>
      <c r="D895" s="389">
        <v>449.43</v>
      </c>
      <c r="E895" s="96">
        <f>D895*20%</f>
        <v>89.89</v>
      </c>
      <c r="F895" s="154">
        <f t="shared" si="47"/>
        <v>539.32000000000005</v>
      </c>
      <c r="G895" s="226"/>
      <c r="H895" s="253"/>
      <c r="I895" s="253"/>
      <c r="J895" s="253"/>
      <c r="K895" s="253"/>
      <c r="L895" s="253"/>
      <c r="M895" s="253"/>
      <c r="N895" s="253"/>
      <c r="O895" s="253"/>
      <c r="P895" s="253"/>
      <c r="Q895" s="253"/>
      <c r="R895" s="253"/>
      <c r="S895" s="253"/>
      <c r="EH895" s="3"/>
      <c r="GS895" s="3"/>
      <c r="HM895" s="2">
        <v>150.68</v>
      </c>
      <c r="IT895" s="2">
        <f>HM895/1.18</f>
        <v>127.694915254237</v>
      </c>
      <c r="IU895" s="301">
        <v>111.59</v>
      </c>
      <c r="IV895" s="312">
        <f>111.59*1.045</f>
        <v>116.61</v>
      </c>
    </row>
    <row r="896" spans="1:256" s="2" customFormat="1" ht="31.5" hidden="1" customHeight="1" thickBot="1" x14ac:dyDescent="0.25">
      <c r="A896" s="245" t="s">
        <v>1831</v>
      </c>
      <c r="B896" s="406" t="s">
        <v>1168</v>
      </c>
      <c r="C896" s="122" t="s">
        <v>1834</v>
      </c>
      <c r="D896" s="389">
        <v>450.43</v>
      </c>
      <c r="E896" s="96">
        <f>D896*20%</f>
        <v>90.09</v>
      </c>
      <c r="F896" s="154">
        <f t="shared" si="47"/>
        <v>540.52</v>
      </c>
      <c r="G896" s="226"/>
      <c r="H896" s="253"/>
      <c r="I896" s="253"/>
      <c r="J896" s="253"/>
      <c r="K896" s="253"/>
      <c r="L896" s="253"/>
      <c r="M896" s="253"/>
      <c r="N896" s="253"/>
      <c r="O896" s="253"/>
      <c r="P896" s="253"/>
      <c r="Q896" s="253"/>
      <c r="R896" s="253"/>
      <c r="S896" s="253"/>
      <c r="EH896" s="3"/>
      <c r="GS896" s="3"/>
      <c r="IU896" s="69">
        <v>55.46</v>
      </c>
      <c r="IV896" s="312">
        <f>55.46*1.045</f>
        <v>57.96</v>
      </c>
    </row>
    <row r="897" spans="1:256" s="2" customFormat="1" ht="41.25" hidden="1" customHeight="1" x14ac:dyDescent="0.2">
      <c r="A897" s="245" t="s">
        <v>1831</v>
      </c>
      <c r="B897" s="406" t="s">
        <v>1168</v>
      </c>
      <c r="C897" s="122" t="s">
        <v>1835</v>
      </c>
      <c r="D897" s="389">
        <v>451.43</v>
      </c>
      <c r="E897" s="154">
        <f t="shared" ref="E897:E904" si="48">D897*0.18</f>
        <v>81.260000000000005</v>
      </c>
      <c r="F897" s="154">
        <f t="shared" si="47"/>
        <v>532.69000000000005</v>
      </c>
      <c r="G897" s="226"/>
      <c r="H897" s="253"/>
      <c r="I897" s="253"/>
      <c r="J897" s="253"/>
      <c r="K897" s="253"/>
      <c r="L897" s="253"/>
      <c r="M897" s="253"/>
      <c r="N897" s="253"/>
      <c r="O897" s="253"/>
      <c r="P897" s="253"/>
      <c r="Q897" s="253"/>
      <c r="R897" s="253"/>
      <c r="S897" s="253"/>
      <c r="EH897" s="3"/>
      <c r="GS897" s="3"/>
      <c r="IU897" s="301">
        <v>2052.5700000000002</v>
      </c>
      <c r="IV897" s="312">
        <f>2052.57*1.045</f>
        <v>2144.94</v>
      </c>
    </row>
    <row r="898" spans="1:256" s="2" customFormat="1" ht="42.75" hidden="1" customHeight="1" x14ac:dyDescent="0.2">
      <c r="A898" s="245" t="s">
        <v>1831</v>
      </c>
      <c r="B898" s="406" t="s">
        <v>1168</v>
      </c>
      <c r="C898" s="122" t="s">
        <v>1836</v>
      </c>
      <c r="D898" s="389">
        <v>452.43</v>
      </c>
      <c r="E898" s="154">
        <f t="shared" si="48"/>
        <v>81.44</v>
      </c>
      <c r="F898" s="154">
        <f t="shared" si="47"/>
        <v>533.87</v>
      </c>
      <c r="G898" s="226"/>
      <c r="H898" s="253"/>
      <c r="I898" s="253"/>
      <c r="J898" s="253"/>
      <c r="K898" s="253"/>
      <c r="L898" s="253"/>
      <c r="M898" s="253"/>
      <c r="N898" s="253"/>
      <c r="O898" s="253"/>
      <c r="P898" s="253"/>
      <c r="Q898" s="253"/>
      <c r="R898" s="253"/>
      <c r="S898" s="253"/>
      <c r="EH898" s="3"/>
      <c r="GS898" s="3"/>
      <c r="IU898" s="301">
        <v>1421.43</v>
      </c>
      <c r="IV898" s="312">
        <f>1421.43*1.045</f>
        <v>1485.39</v>
      </c>
    </row>
    <row r="899" spans="1:256" s="2" customFormat="1" ht="44.25" hidden="1" customHeight="1" x14ac:dyDescent="0.2">
      <c r="A899" s="245" t="s">
        <v>1831</v>
      </c>
      <c r="B899" s="406" t="s">
        <v>1168</v>
      </c>
      <c r="C899" s="122" t="s">
        <v>1837</v>
      </c>
      <c r="D899" s="389">
        <v>453.43</v>
      </c>
      <c r="E899" s="154">
        <f t="shared" si="48"/>
        <v>81.62</v>
      </c>
      <c r="F899" s="154">
        <f t="shared" si="47"/>
        <v>535.04999999999995</v>
      </c>
      <c r="G899" s="226"/>
      <c r="H899" s="253"/>
      <c r="I899" s="253"/>
      <c r="J899" s="253"/>
      <c r="K899" s="253"/>
      <c r="L899" s="253"/>
      <c r="M899" s="253"/>
      <c r="N899" s="253"/>
      <c r="O899" s="253"/>
      <c r="P899" s="253"/>
      <c r="Q899" s="253"/>
      <c r="R899" s="253"/>
      <c r="S899" s="253"/>
      <c r="EH899" s="3"/>
      <c r="GS899" s="3"/>
      <c r="IU899" s="301">
        <v>1130.6600000000001</v>
      </c>
      <c r="IV899" s="312">
        <f>1130.66*1.045</f>
        <v>1181.54</v>
      </c>
    </row>
    <row r="900" spans="1:256" s="2" customFormat="1" ht="46.5" hidden="1" customHeight="1" x14ac:dyDescent="0.2">
      <c r="A900" s="245" t="s">
        <v>1831</v>
      </c>
      <c r="B900" s="406" t="s">
        <v>1168</v>
      </c>
      <c r="C900" s="122" t="s">
        <v>1838</v>
      </c>
      <c r="D900" s="389">
        <v>454.43</v>
      </c>
      <c r="E900" s="154">
        <f t="shared" si="48"/>
        <v>81.8</v>
      </c>
      <c r="F900" s="154">
        <f t="shared" si="47"/>
        <v>536.23</v>
      </c>
      <c r="G900" s="226"/>
      <c r="H900" s="253"/>
      <c r="I900" s="253"/>
      <c r="J900" s="253"/>
      <c r="K900" s="253"/>
      <c r="L900" s="253"/>
      <c r="M900" s="253"/>
      <c r="N900" s="253"/>
      <c r="O900" s="253"/>
      <c r="P900" s="253"/>
      <c r="Q900" s="253"/>
      <c r="R900" s="253"/>
      <c r="S900" s="253"/>
      <c r="EH900" s="3"/>
      <c r="GS900" s="3"/>
      <c r="IU900" s="301">
        <v>1353.86</v>
      </c>
      <c r="IV900" s="312">
        <f>1353.86*1.045</f>
        <v>1414.78</v>
      </c>
    </row>
    <row r="901" spans="1:256" s="2" customFormat="1" ht="33.75" hidden="1" customHeight="1" x14ac:dyDescent="0.2">
      <c r="A901" s="245" t="s">
        <v>1831</v>
      </c>
      <c r="B901" s="406" t="s">
        <v>1168</v>
      </c>
      <c r="C901" s="122" t="s">
        <v>1839</v>
      </c>
      <c r="D901" s="389">
        <v>455.43</v>
      </c>
      <c r="E901" s="154">
        <f t="shared" si="48"/>
        <v>81.98</v>
      </c>
      <c r="F901" s="154">
        <f t="shared" si="47"/>
        <v>537.41</v>
      </c>
      <c r="G901" s="226"/>
      <c r="H901" s="253"/>
      <c r="I901" s="253"/>
      <c r="J901" s="253"/>
      <c r="K901" s="253"/>
      <c r="L901" s="253"/>
      <c r="M901" s="253"/>
      <c r="N901" s="253"/>
      <c r="O901" s="253"/>
      <c r="P901" s="253"/>
      <c r="Q901" s="253"/>
      <c r="R901" s="253"/>
      <c r="S901" s="253"/>
      <c r="EH901" s="3"/>
      <c r="GS901" s="3"/>
      <c r="IU901" s="301">
        <v>1154.6400000000001</v>
      </c>
      <c r="IV901" s="312">
        <f>1154.64*1.045</f>
        <v>1206.5999999999999</v>
      </c>
    </row>
    <row r="902" spans="1:256" s="2" customFormat="1" ht="46.5" hidden="1" customHeight="1" x14ac:dyDescent="0.2">
      <c r="A902" s="245" t="s">
        <v>1831</v>
      </c>
      <c r="B902" s="406" t="s">
        <v>1168</v>
      </c>
      <c r="C902" s="122" t="s">
        <v>1840</v>
      </c>
      <c r="D902" s="389">
        <v>456.43</v>
      </c>
      <c r="E902" s="154">
        <f t="shared" si="48"/>
        <v>82.16</v>
      </c>
      <c r="F902" s="154">
        <f t="shared" si="47"/>
        <v>538.59</v>
      </c>
      <c r="G902" s="226"/>
      <c r="H902" s="253"/>
      <c r="I902" s="253"/>
      <c r="J902" s="253"/>
      <c r="K902" s="253"/>
      <c r="L902" s="253"/>
      <c r="M902" s="253"/>
      <c r="N902" s="253"/>
      <c r="O902" s="253"/>
      <c r="P902" s="253"/>
      <c r="Q902" s="253"/>
      <c r="R902" s="253"/>
      <c r="S902" s="253"/>
      <c r="EH902" s="3"/>
      <c r="GS902" s="3"/>
      <c r="IU902" s="301">
        <v>1314.82</v>
      </c>
      <c r="IV902" s="312">
        <f>1314.82*1.045</f>
        <v>1373.99</v>
      </c>
    </row>
    <row r="903" spans="1:256" s="2" customFormat="1" ht="43.5" hidden="1" customHeight="1" x14ac:dyDescent="0.2">
      <c r="A903" s="245" t="s">
        <v>1831</v>
      </c>
      <c r="B903" s="406" t="s">
        <v>1168</v>
      </c>
      <c r="C903" s="122" t="s">
        <v>1841</v>
      </c>
      <c r="D903" s="389">
        <v>457.43</v>
      </c>
      <c r="E903" s="154">
        <f t="shared" si="48"/>
        <v>82.34</v>
      </c>
      <c r="F903" s="154">
        <f t="shared" si="47"/>
        <v>539.77</v>
      </c>
      <c r="G903" s="226"/>
      <c r="H903" s="253"/>
      <c r="I903" s="253"/>
      <c r="J903" s="253"/>
      <c r="K903" s="253"/>
      <c r="L903" s="253"/>
      <c r="M903" s="253"/>
      <c r="N903" s="253"/>
      <c r="O903" s="253"/>
      <c r="P903" s="253"/>
      <c r="Q903" s="253"/>
      <c r="R903" s="253"/>
      <c r="S903" s="253"/>
      <c r="EH903" s="3"/>
      <c r="GS903" s="3"/>
      <c r="IU903" s="301">
        <v>1114.48</v>
      </c>
      <c r="IV903" s="312">
        <f>1114.48*1.045</f>
        <v>1164.6300000000001</v>
      </c>
    </row>
    <row r="904" spans="1:256" s="2" customFormat="1" ht="54.75" hidden="1" customHeight="1" thickBot="1" x14ac:dyDescent="0.25">
      <c r="A904" s="297" t="s">
        <v>1831</v>
      </c>
      <c r="B904" s="296" t="s">
        <v>1168</v>
      </c>
      <c r="C904" s="223" t="s">
        <v>1842</v>
      </c>
      <c r="D904" s="69">
        <v>458.43</v>
      </c>
      <c r="E904" s="154">
        <f t="shared" si="48"/>
        <v>82.52</v>
      </c>
      <c r="F904" s="154">
        <f t="shared" si="47"/>
        <v>540.95000000000005</v>
      </c>
      <c r="G904" s="226"/>
      <c r="H904" s="253"/>
      <c r="I904" s="253"/>
      <c r="J904" s="253"/>
      <c r="K904" s="253"/>
      <c r="L904" s="253"/>
      <c r="M904" s="253"/>
      <c r="N904" s="253"/>
      <c r="O904" s="253"/>
      <c r="P904" s="253"/>
      <c r="Q904" s="253"/>
      <c r="R904" s="253"/>
      <c r="S904" s="253"/>
      <c r="EH904" s="3"/>
      <c r="GS904" s="3"/>
      <c r="IU904" s="68">
        <v>949.91</v>
      </c>
      <c r="IV904" s="312">
        <f>949.91*1.045</f>
        <v>992.66</v>
      </c>
    </row>
    <row r="905" spans="1:256" s="2" customFormat="1" ht="30" customHeight="1" x14ac:dyDescent="0.2">
      <c r="A905" s="245" t="s">
        <v>79</v>
      </c>
      <c r="B905" s="381" t="s">
        <v>1742</v>
      </c>
      <c r="C905" s="122" t="s">
        <v>1053</v>
      </c>
      <c r="D905" s="389">
        <v>2907.5</v>
      </c>
      <c r="E905" s="154"/>
      <c r="F905" s="154">
        <f t="shared" si="47"/>
        <v>2907.5</v>
      </c>
      <c r="G905" s="226"/>
      <c r="H905" s="253"/>
      <c r="I905" s="253"/>
      <c r="J905" s="253"/>
      <c r="K905" s="253"/>
      <c r="L905" s="253"/>
      <c r="M905" s="253"/>
      <c r="N905" s="253"/>
      <c r="O905" s="253"/>
      <c r="P905" s="253"/>
      <c r="Q905" s="253"/>
      <c r="R905" s="253"/>
      <c r="S905" s="253"/>
      <c r="EH905" s="3"/>
      <c r="GS905" s="3"/>
      <c r="IU905" s="302"/>
      <c r="IV905" s="312"/>
    </row>
    <row r="906" spans="1:256" s="2" customFormat="1" ht="19.5" customHeight="1" x14ac:dyDescent="0.2">
      <c r="A906" s="121" t="s">
        <v>81</v>
      </c>
      <c r="B906" s="522" t="s">
        <v>1075</v>
      </c>
      <c r="C906" s="523"/>
      <c r="D906" s="529"/>
      <c r="E906" s="208"/>
      <c r="F906" s="208"/>
      <c r="G906" s="226"/>
      <c r="H906" s="253"/>
      <c r="I906" s="253"/>
      <c r="J906" s="253"/>
      <c r="K906" s="253"/>
      <c r="L906" s="253"/>
      <c r="M906" s="253"/>
      <c r="N906" s="253"/>
      <c r="O906" s="253"/>
      <c r="P906" s="253"/>
      <c r="Q906" s="253"/>
      <c r="R906" s="253"/>
      <c r="S906" s="253"/>
      <c r="EH906" s="3"/>
      <c r="GS906" s="3"/>
      <c r="IU906" s="302"/>
      <c r="IV906" s="312"/>
    </row>
    <row r="907" spans="1:256" s="2" customFormat="1" ht="30" customHeight="1" x14ac:dyDescent="0.2">
      <c r="A907" s="126" t="s">
        <v>2254</v>
      </c>
      <c r="B907" s="381" t="s">
        <v>1076</v>
      </c>
      <c r="C907" s="122" t="s">
        <v>1053</v>
      </c>
      <c r="D907" s="389">
        <f>601.87</f>
        <v>601.87</v>
      </c>
      <c r="E907" s="96"/>
      <c r="F907" s="154">
        <f>D907+E907</f>
        <v>601.87</v>
      </c>
      <c r="G907" s="226"/>
      <c r="H907" s="253"/>
      <c r="I907" s="253"/>
      <c r="J907" s="253"/>
      <c r="K907" s="253"/>
      <c r="L907" s="253"/>
      <c r="M907" s="253"/>
      <c r="N907" s="253"/>
      <c r="O907" s="253"/>
      <c r="P907" s="253"/>
      <c r="Q907" s="253"/>
      <c r="R907" s="253"/>
      <c r="S907" s="253"/>
      <c r="EH907" s="3"/>
      <c r="GS907" s="3"/>
      <c r="IU907" s="302"/>
      <c r="IV907" s="312"/>
    </row>
    <row r="908" spans="1:256" s="2" customFormat="1" ht="33.75" customHeight="1" x14ac:dyDescent="0.2">
      <c r="A908" s="245" t="s">
        <v>83</v>
      </c>
      <c r="B908" s="397" t="s">
        <v>1124</v>
      </c>
      <c r="C908" s="122" t="s">
        <v>1053</v>
      </c>
      <c r="D908" s="389">
        <f>119.15</f>
        <v>119.15</v>
      </c>
      <c r="E908" s="154"/>
      <c r="F908" s="154"/>
      <c r="G908" s="226"/>
      <c r="H908" s="253"/>
      <c r="I908" s="253"/>
      <c r="J908" s="253"/>
      <c r="K908" s="253"/>
      <c r="L908" s="253"/>
      <c r="M908" s="253"/>
      <c r="N908" s="253"/>
      <c r="O908" s="253"/>
      <c r="P908" s="253"/>
      <c r="Q908" s="253"/>
      <c r="R908" s="253"/>
      <c r="S908" s="253"/>
      <c r="EH908" s="3"/>
      <c r="GS908" s="3"/>
      <c r="IU908" s="302"/>
      <c r="IV908" s="312"/>
    </row>
    <row r="909" spans="1:256" s="2" customFormat="1" ht="33" customHeight="1" x14ac:dyDescent="0.2">
      <c r="A909" s="245" t="s">
        <v>85</v>
      </c>
      <c r="B909" s="397" t="s">
        <v>1094</v>
      </c>
      <c r="C909" s="122" t="s">
        <v>1053</v>
      </c>
      <c r="D909" s="389">
        <f>253.97</f>
        <v>253.97</v>
      </c>
      <c r="E909" s="154"/>
      <c r="F909" s="154"/>
      <c r="G909" s="226"/>
      <c r="H909" s="253"/>
      <c r="I909" s="253"/>
      <c r="J909" s="253"/>
      <c r="K909" s="253"/>
      <c r="L909" s="253"/>
      <c r="M909" s="253"/>
      <c r="N909" s="253"/>
      <c r="O909" s="253"/>
      <c r="P909" s="253"/>
      <c r="Q909" s="253"/>
      <c r="R909" s="253"/>
      <c r="S909" s="253"/>
      <c r="EH909" s="3"/>
      <c r="GS909" s="3"/>
      <c r="IU909" s="302"/>
      <c r="IV909" s="312"/>
    </row>
    <row r="910" spans="1:256" s="2" customFormat="1" ht="33.75" customHeight="1" x14ac:dyDescent="0.2">
      <c r="A910" s="245" t="s">
        <v>87</v>
      </c>
      <c r="B910" s="397" t="s">
        <v>2049</v>
      </c>
      <c r="C910" s="122" t="s">
        <v>1053</v>
      </c>
      <c r="D910" s="389">
        <v>430.17</v>
      </c>
      <c r="E910" s="154"/>
      <c r="F910" s="154"/>
      <c r="G910" s="226"/>
      <c r="H910" s="253"/>
      <c r="I910" s="253"/>
      <c r="J910" s="253"/>
      <c r="K910" s="253"/>
      <c r="L910" s="253"/>
      <c r="M910" s="253"/>
      <c r="N910" s="253"/>
      <c r="O910" s="253"/>
      <c r="P910" s="253"/>
      <c r="Q910" s="253"/>
      <c r="R910" s="253"/>
      <c r="S910" s="253"/>
      <c r="EH910" s="3"/>
      <c r="GS910" s="3"/>
      <c r="IU910" s="302"/>
      <c r="IV910" s="312"/>
    </row>
    <row r="911" spans="1:256" s="2" customFormat="1" ht="48.75" customHeight="1" x14ac:dyDescent="0.2">
      <c r="A911" s="245" t="s">
        <v>90</v>
      </c>
      <c r="B911" s="397" t="s">
        <v>1106</v>
      </c>
      <c r="C911" s="122" t="s">
        <v>1053</v>
      </c>
      <c r="D911" s="389">
        <f>158.22</f>
        <v>158.22</v>
      </c>
      <c r="E911" s="154"/>
      <c r="F911" s="154"/>
      <c r="G911" s="226"/>
      <c r="H911" s="253"/>
      <c r="I911" s="253"/>
      <c r="J911" s="253"/>
      <c r="K911" s="253"/>
      <c r="L911" s="253"/>
      <c r="M911" s="253"/>
      <c r="N911" s="253"/>
      <c r="O911" s="253"/>
      <c r="P911" s="253"/>
      <c r="Q911" s="253"/>
      <c r="R911" s="253"/>
      <c r="S911" s="253"/>
      <c r="EH911" s="3"/>
      <c r="GS911" s="3"/>
      <c r="IU911" s="302"/>
      <c r="IV911" s="312"/>
    </row>
    <row r="912" spans="1:256" s="2" customFormat="1" ht="36.75" customHeight="1" x14ac:dyDescent="0.25">
      <c r="A912" s="245" t="s">
        <v>91</v>
      </c>
      <c r="B912" s="128" t="s">
        <v>1140</v>
      </c>
      <c r="C912" s="122" t="s">
        <v>1053</v>
      </c>
      <c r="D912" s="389">
        <f>47.31</f>
        <v>47.31</v>
      </c>
      <c r="E912" s="154"/>
      <c r="F912" s="154"/>
      <c r="G912" s="226"/>
      <c r="H912" s="253"/>
      <c r="I912" s="253"/>
      <c r="J912" s="253"/>
      <c r="K912" s="253"/>
      <c r="L912" s="253"/>
      <c r="M912" s="253"/>
      <c r="N912" s="253"/>
      <c r="O912" s="253"/>
      <c r="P912" s="253"/>
      <c r="Q912" s="253"/>
      <c r="R912" s="253"/>
      <c r="S912" s="253"/>
      <c r="EH912" s="3"/>
      <c r="GS912" s="3"/>
      <c r="IU912" s="302"/>
      <c r="IV912" s="312"/>
    </row>
    <row r="913" spans="1:256" s="2" customFormat="1" ht="35.25" customHeight="1" x14ac:dyDescent="0.2">
      <c r="A913" s="245" t="s">
        <v>106</v>
      </c>
      <c r="B913" s="397" t="s">
        <v>1104</v>
      </c>
      <c r="C913" s="122" t="s">
        <v>1053</v>
      </c>
      <c r="D913" s="389">
        <f>41.81</f>
        <v>41.81</v>
      </c>
      <c r="E913" s="154"/>
      <c r="F913" s="154"/>
      <c r="G913" s="226"/>
      <c r="H913" s="253"/>
      <c r="I913" s="253"/>
      <c r="J913" s="253"/>
      <c r="K913" s="253"/>
      <c r="L913" s="253"/>
      <c r="M913" s="253"/>
      <c r="N913" s="253"/>
      <c r="O913" s="253"/>
      <c r="P913" s="253"/>
      <c r="Q913" s="253"/>
      <c r="R913" s="253"/>
      <c r="S913" s="253"/>
      <c r="EH913" s="3"/>
      <c r="GS913" s="3"/>
      <c r="IU913" s="302"/>
      <c r="IV913" s="312"/>
    </row>
    <row r="914" spans="1:256" s="2" customFormat="1" ht="36.75" customHeight="1" x14ac:dyDescent="0.2">
      <c r="A914" s="245" t="s">
        <v>108</v>
      </c>
      <c r="B914" s="397" t="s">
        <v>1102</v>
      </c>
      <c r="C914" s="122" t="s">
        <v>1053</v>
      </c>
      <c r="D914" s="389">
        <f>76.35</f>
        <v>76.349999999999994</v>
      </c>
      <c r="E914" s="154"/>
      <c r="F914" s="154"/>
      <c r="G914" s="226"/>
      <c r="H914" s="253"/>
      <c r="I914" s="253"/>
      <c r="J914" s="253"/>
      <c r="K914" s="253"/>
      <c r="L914" s="253"/>
      <c r="M914" s="253"/>
      <c r="N914" s="253"/>
      <c r="O914" s="253"/>
      <c r="P914" s="253"/>
      <c r="Q914" s="253"/>
      <c r="R914" s="253"/>
      <c r="S914" s="253"/>
      <c r="EH914" s="3"/>
      <c r="GS914" s="3"/>
      <c r="IU914" s="302"/>
      <c r="IV914" s="312"/>
    </row>
    <row r="915" spans="1:256" s="2" customFormat="1" ht="36.75" customHeight="1" x14ac:dyDescent="0.2">
      <c r="A915" s="245" t="s">
        <v>114</v>
      </c>
      <c r="B915" s="397" t="s">
        <v>2050</v>
      </c>
      <c r="C915" s="122" t="s">
        <v>1053</v>
      </c>
      <c r="D915" s="389">
        <v>380.55</v>
      </c>
      <c r="E915" s="154"/>
      <c r="F915" s="154"/>
      <c r="G915" s="226"/>
      <c r="H915" s="253"/>
      <c r="I915" s="253"/>
      <c r="J915" s="253"/>
      <c r="K915" s="253"/>
      <c r="L915" s="253"/>
      <c r="M915" s="253"/>
      <c r="N915" s="253"/>
      <c r="O915" s="253"/>
      <c r="P915" s="253"/>
      <c r="Q915" s="253"/>
      <c r="R915" s="253"/>
      <c r="S915" s="253"/>
      <c r="EH915" s="3"/>
      <c r="GS915" s="3"/>
      <c r="IU915" s="302"/>
      <c r="IV915" s="312"/>
    </row>
    <row r="916" spans="1:256" s="2" customFormat="1" ht="36.75" customHeight="1" x14ac:dyDescent="0.2">
      <c r="A916" s="245" t="s">
        <v>117</v>
      </c>
      <c r="B916" s="397" t="s">
        <v>2266</v>
      </c>
      <c r="C916" s="122" t="s">
        <v>1053</v>
      </c>
      <c r="D916" s="389">
        <v>202.6</v>
      </c>
      <c r="E916" s="154"/>
      <c r="F916" s="154"/>
      <c r="G916" s="226"/>
      <c r="H916" s="253"/>
      <c r="I916" s="253"/>
      <c r="J916" s="253"/>
      <c r="K916" s="253"/>
      <c r="L916" s="253"/>
      <c r="M916" s="253"/>
      <c r="N916" s="253"/>
      <c r="O916" s="253"/>
      <c r="P916" s="253"/>
      <c r="Q916" s="253"/>
      <c r="R916" s="253"/>
      <c r="S916" s="253"/>
      <c r="EH916" s="3"/>
      <c r="GS916" s="3"/>
      <c r="IU916" s="314"/>
      <c r="IV916" s="312"/>
    </row>
    <row r="917" spans="1:256" s="2" customFormat="1" ht="28.5" customHeight="1" x14ac:dyDescent="0.2">
      <c r="A917" s="420" t="s">
        <v>2041</v>
      </c>
      <c r="B917" s="420"/>
      <c r="C917" s="420"/>
      <c r="D917" s="420"/>
      <c r="E917" s="225"/>
      <c r="F917" s="225"/>
      <c r="G917" s="226"/>
      <c r="H917" s="253"/>
      <c r="I917" s="253"/>
      <c r="J917" s="253"/>
      <c r="K917" s="253"/>
      <c r="L917" s="253"/>
      <c r="M917" s="253"/>
      <c r="N917" s="253"/>
      <c r="O917" s="253"/>
      <c r="P917" s="253"/>
      <c r="Q917" s="253"/>
      <c r="R917" s="253"/>
      <c r="S917" s="253"/>
      <c r="EH917" s="3"/>
      <c r="GS917" s="3"/>
    </row>
    <row r="918" spans="1:256" s="2" customFormat="1" ht="57.75" customHeight="1" x14ac:dyDescent="0.2">
      <c r="A918" s="396" t="s">
        <v>2308</v>
      </c>
      <c r="B918" s="386" t="s">
        <v>1021</v>
      </c>
      <c r="C918" s="386" t="s">
        <v>9</v>
      </c>
      <c r="D918" s="386" t="s">
        <v>2309</v>
      </c>
      <c r="E918" s="371"/>
      <c r="F918" s="371" t="s">
        <v>1023</v>
      </c>
      <c r="G918" s="226"/>
      <c r="H918" s="253"/>
      <c r="I918" s="253"/>
      <c r="J918" s="253"/>
      <c r="K918" s="253"/>
      <c r="L918" s="253"/>
      <c r="M918" s="253"/>
      <c r="N918" s="253"/>
      <c r="O918" s="253"/>
      <c r="P918" s="253"/>
      <c r="Q918" s="253"/>
      <c r="R918" s="253"/>
      <c r="S918" s="253"/>
      <c r="EH918" s="3"/>
      <c r="GS918" s="3"/>
    </row>
    <row r="919" spans="1:256" s="2" customFormat="1" ht="15.75" x14ac:dyDescent="0.2">
      <c r="A919" s="396">
        <v>1</v>
      </c>
      <c r="B919" s="386">
        <v>2</v>
      </c>
      <c r="C919" s="386">
        <v>3</v>
      </c>
      <c r="D919" s="386">
        <v>4</v>
      </c>
      <c r="E919" s="371"/>
      <c r="F919" s="371">
        <v>6</v>
      </c>
      <c r="G919" s="226"/>
      <c r="H919" s="253"/>
      <c r="I919" s="253"/>
      <c r="J919" s="253"/>
      <c r="K919" s="253"/>
      <c r="L919" s="253"/>
      <c r="M919" s="253"/>
      <c r="N919" s="253"/>
      <c r="O919" s="253"/>
      <c r="P919" s="253"/>
      <c r="Q919" s="253"/>
      <c r="R919" s="253"/>
      <c r="S919" s="253"/>
      <c r="EH919" s="3"/>
      <c r="GS919" s="3"/>
    </row>
    <row r="920" spans="1:256" s="2" customFormat="1" ht="15.75" customHeight="1" x14ac:dyDescent="0.2">
      <c r="A920" s="447" t="s">
        <v>1190</v>
      </c>
      <c r="B920" s="447"/>
      <c r="C920" s="447"/>
      <c r="D920" s="447"/>
      <c r="E920" s="203"/>
      <c r="F920" s="203"/>
      <c r="G920" s="226"/>
      <c r="H920" s="253"/>
      <c r="I920" s="253"/>
      <c r="J920" s="253"/>
      <c r="K920" s="253"/>
      <c r="L920" s="253"/>
      <c r="M920" s="253"/>
      <c r="N920" s="253"/>
      <c r="O920" s="253"/>
      <c r="P920" s="253"/>
      <c r="Q920" s="253"/>
      <c r="R920" s="253"/>
      <c r="S920" s="253"/>
      <c r="EH920" s="3"/>
      <c r="GS920" s="3"/>
    </row>
    <row r="921" spans="1:256" s="2" customFormat="1" ht="15.75" hidden="1" x14ac:dyDescent="0.2">
      <c r="A921" s="155" t="s">
        <v>1191</v>
      </c>
      <c r="B921" s="381" t="s">
        <v>1192</v>
      </c>
      <c r="C921" s="379" t="s">
        <v>236</v>
      </c>
      <c r="D921" s="389">
        <v>301.67</v>
      </c>
      <c r="E921" s="96">
        <f>D921*20%</f>
        <v>60.33</v>
      </c>
      <c r="F921" s="154">
        <f t="shared" ref="F921:F952" si="49">D921+E921</f>
        <v>362</v>
      </c>
      <c r="G921" s="226"/>
      <c r="H921" s="253"/>
      <c r="I921" s="253"/>
      <c r="J921" s="253"/>
      <c r="K921" s="253"/>
      <c r="L921" s="253"/>
      <c r="M921" s="253"/>
      <c r="N921" s="253"/>
      <c r="O921" s="253"/>
      <c r="P921" s="253"/>
      <c r="Q921" s="253"/>
      <c r="R921" s="253"/>
      <c r="S921" s="253"/>
      <c r="EH921" s="3"/>
      <c r="GS921" s="3"/>
    </row>
    <row r="922" spans="1:256" s="2" customFormat="1" ht="39.75" customHeight="1" x14ac:dyDescent="0.2">
      <c r="A922" s="155" t="s">
        <v>14</v>
      </c>
      <c r="B922" s="381" t="s">
        <v>1193</v>
      </c>
      <c r="C922" s="122" t="s">
        <v>1666</v>
      </c>
      <c r="D922" s="389">
        <v>764.71</v>
      </c>
      <c r="E922" s="96"/>
      <c r="F922" s="154">
        <f t="shared" si="49"/>
        <v>764.71</v>
      </c>
      <c r="G922" s="226"/>
      <c r="H922" s="253"/>
      <c r="I922" s="253"/>
      <c r="J922" s="253"/>
      <c r="K922" s="253"/>
      <c r="L922" s="253"/>
      <c r="M922" s="253"/>
      <c r="N922" s="253"/>
      <c r="O922" s="253"/>
      <c r="P922" s="253"/>
      <c r="Q922" s="253"/>
      <c r="R922" s="253"/>
      <c r="S922" s="253"/>
      <c r="EH922" s="3"/>
      <c r="GS922" s="3"/>
    </row>
    <row r="923" spans="1:256" s="2" customFormat="1" ht="30" customHeight="1" x14ac:dyDescent="0.2">
      <c r="A923" s="155" t="s">
        <v>26</v>
      </c>
      <c r="B923" s="381" t="s">
        <v>1194</v>
      </c>
      <c r="C923" s="122" t="s">
        <v>1666</v>
      </c>
      <c r="D923" s="389">
        <v>373.02</v>
      </c>
      <c r="E923" s="96"/>
      <c r="F923" s="154">
        <f t="shared" si="49"/>
        <v>373.02</v>
      </c>
      <c r="G923" s="226"/>
      <c r="H923" s="253"/>
      <c r="I923" s="253"/>
      <c r="J923" s="253"/>
      <c r="K923" s="253"/>
      <c r="L923" s="253"/>
      <c r="M923" s="253"/>
      <c r="N923" s="253"/>
      <c r="O923" s="253"/>
      <c r="P923" s="253"/>
      <c r="Q923" s="253"/>
      <c r="R923" s="253"/>
      <c r="S923" s="253"/>
      <c r="EH923" s="3"/>
      <c r="GS923" s="3"/>
    </row>
    <row r="924" spans="1:256" s="2" customFormat="1" ht="32.25" customHeight="1" x14ac:dyDescent="0.2">
      <c r="A924" s="155" t="s">
        <v>29</v>
      </c>
      <c r="B924" s="381" t="s">
        <v>1195</v>
      </c>
      <c r="C924" s="122" t="s">
        <v>1666</v>
      </c>
      <c r="D924" s="389">
        <v>359.49</v>
      </c>
      <c r="E924" s="96"/>
      <c r="F924" s="154">
        <f t="shared" si="49"/>
        <v>359.49</v>
      </c>
      <c r="G924" s="226"/>
      <c r="H924" s="253"/>
      <c r="I924" s="253"/>
      <c r="J924" s="253"/>
      <c r="K924" s="253"/>
      <c r="L924" s="253"/>
      <c r="M924" s="253"/>
      <c r="N924" s="253"/>
      <c r="O924" s="253"/>
      <c r="P924" s="253"/>
      <c r="Q924" s="253"/>
      <c r="R924" s="253"/>
      <c r="S924" s="253"/>
      <c r="EH924" s="3"/>
      <c r="GS924" s="3"/>
    </row>
    <row r="925" spans="1:256" s="2" customFormat="1" ht="21" hidden="1" customHeight="1" x14ac:dyDescent="0.2">
      <c r="A925" s="155" t="s">
        <v>1815</v>
      </c>
      <c r="B925" s="381" t="s">
        <v>1196</v>
      </c>
      <c r="C925" s="122" t="s">
        <v>1666</v>
      </c>
      <c r="D925" s="389">
        <v>489.61</v>
      </c>
      <c r="E925" s="96"/>
      <c r="F925" s="154">
        <f t="shared" si="49"/>
        <v>489.61</v>
      </c>
      <c r="G925" s="226"/>
      <c r="H925" s="253"/>
      <c r="I925" s="253"/>
      <c r="J925" s="253"/>
      <c r="K925" s="253"/>
      <c r="L925" s="253"/>
      <c r="M925" s="253"/>
      <c r="N925" s="253"/>
      <c r="O925" s="253"/>
      <c r="P925" s="253"/>
      <c r="Q925" s="253"/>
      <c r="R925" s="253"/>
      <c r="S925" s="253"/>
      <c r="EH925" s="3"/>
      <c r="GS925" s="3"/>
    </row>
    <row r="926" spans="1:256" s="2" customFormat="1" ht="51" customHeight="1" x14ac:dyDescent="0.2">
      <c r="A926" s="155" t="s">
        <v>31</v>
      </c>
      <c r="B926" s="381" t="s">
        <v>1197</v>
      </c>
      <c r="C926" s="122" t="s">
        <v>1666</v>
      </c>
      <c r="D926" s="389">
        <v>869.62</v>
      </c>
      <c r="E926" s="96"/>
      <c r="F926" s="154">
        <f t="shared" si="49"/>
        <v>869.62</v>
      </c>
      <c r="G926" s="226"/>
      <c r="H926" s="253"/>
      <c r="I926" s="253"/>
      <c r="J926" s="253"/>
      <c r="K926" s="253"/>
      <c r="L926" s="253"/>
      <c r="M926" s="253"/>
      <c r="N926" s="253"/>
      <c r="O926" s="253"/>
      <c r="P926" s="253"/>
      <c r="Q926" s="253"/>
      <c r="R926" s="253"/>
      <c r="S926" s="253"/>
      <c r="EH926" s="3" t="s">
        <v>1198</v>
      </c>
      <c r="GS926" s="3"/>
    </row>
    <row r="927" spans="1:256" s="2" customFormat="1" ht="39.75" hidden="1" customHeight="1" x14ac:dyDescent="0.2">
      <c r="A927" s="155" t="s">
        <v>1816</v>
      </c>
      <c r="B927" s="381" t="s">
        <v>1199</v>
      </c>
      <c r="C927" s="122" t="s">
        <v>1666</v>
      </c>
      <c r="D927" s="389">
        <v>1615.88</v>
      </c>
      <c r="E927" s="96"/>
      <c r="F927" s="154">
        <f t="shared" si="49"/>
        <v>1615.88</v>
      </c>
      <c r="G927" s="226"/>
      <c r="H927" s="253"/>
      <c r="I927" s="253"/>
      <c r="J927" s="253"/>
      <c r="K927" s="253"/>
      <c r="L927" s="253"/>
      <c r="M927" s="253"/>
      <c r="N927" s="253"/>
      <c r="O927" s="253"/>
      <c r="P927" s="253"/>
      <c r="Q927" s="253"/>
      <c r="R927" s="253"/>
      <c r="S927" s="253"/>
      <c r="EH927" s="3"/>
      <c r="GS927" s="3"/>
    </row>
    <row r="928" spans="1:256" s="2" customFormat="1" ht="51.75" customHeight="1" x14ac:dyDescent="0.2">
      <c r="A928" s="155" t="s">
        <v>33</v>
      </c>
      <c r="B928" s="381" t="s">
        <v>1200</v>
      </c>
      <c r="C928" s="122" t="s">
        <v>1666</v>
      </c>
      <c r="D928" s="389">
        <v>1071.7</v>
      </c>
      <c r="E928" s="96"/>
      <c r="F928" s="154">
        <f t="shared" si="49"/>
        <v>1071.7</v>
      </c>
      <c r="G928" s="226"/>
      <c r="H928" s="253"/>
      <c r="I928" s="253"/>
      <c r="J928" s="253"/>
      <c r="K928" s="253"/>
      <c r="L928" s="253"/>
      <c r="M928" s="253"/>
      <c r="N928" s="253"/>
      <c r="O928" s="253"/>
      <c r="P928" s="253"/>
      <c r="Q928" s="253"/>
      <c r="R928" s="253"/>
      <c r="S928" s="253"/>
      <c r="EH928" s="3"/>
      <c r="GS928" s="3"/>
    </row>
    <row r="929" spans="1:201" s="2" customFormat="1" ht="43.5" hidden="1" customHeight="1" x14ac:dyDescent="0.2">
      <c r="A929" s="155" t="s">
        <v>1817</v>
      </c>
      <c r="B929" s="381" t="s">
        <v>1201</v>
      </c>
      <c r="C929" s="122" t="s">
        <v>1666</v>
      </c>
      <c r="D929" s="389">
        <v>322.02999999999997</v>
      </c>
      <c r="E929" s="96"/>
      <c r="F929" s="154">
        <f t="shared" si="49"/>
        <v>322.02999999999997</v>
      </c>
      <c r="G929" s="226"/>
      <c r="H929" s="253"/>
      <c r="I929" s="253"/>
      <c r="J929" s="253"/>
      <c r="K929" s="253"/>
      <c r="L929" s="253"/>
      <c r="M929" s="253"/>
      <c r="N929" s="253"/>
      <c r="O929" s="253"/>
      <c r="P929" s="253"/>
      <c r="Q929" s="253"/>
      <c r="R929" s="253"/>
      <c r="S929" s="253"/>
      <c r="EH929" s="3"/>
      <c r="GS929" s="3"/>
    </row>
    <row r="930" spans="1:201" s="2" customFormat="1" ht="51.75" customHeight="1" x14ac:dyDescent="0.2">
      <c r="A930" s="155" t="s">
        <v>35</v>
      </c>
      <c r="B930" s="381" t="s">
        <v>1202</v>
      </c>
      <c r="C930" s="122" t="s">
        <v>1666</v>
      </c>
      <c r="D930" s="389">
        <v>981.45</v>
      </c>
      <c r="E930" s="96"/>
      <c r="F930" s="154">
        <f t="shared" si="49"/>
        <v>981.45</v>
      </c>
      <c r="G930" s="226"/>
      <c r="H930" s="253"/>
      <c r="I930" s="253"/>
      <c r="J930" s="253"/>
      <c r="K930" s="253"/>
      <c r="L930" s="253"/>
      <c r="M930" s="253"/>
      <c r="N930" s="253"/>
      <c r="O930" s="253"/>
      <c r="P930" s="253"/>
      <c r="Q930" s="253"/>
      <c r="R930" s="253"/>
      <c r="S930" s="253"/>
      <c r="EH930" s="3"/>
      <c r="GS930" s="3"/>
    </row>
    <row r="931" spans="1:201" s="2" customFormat="1" ht="39.75" hidden="1" customHeight="1" x14ac:dyDescent="0.2">
      <c r="A931" s="155" t="s">
        <v>1818</v>
      </c>
      <c r="B931" s="381" t="s">
        <v>1203</v>
      </c>
      <c r="C931" s="122" t="s">
        <v>1666</v>
      </c>
      <c r="D931" s="389">
        <v>296.61</v>
      </c>
      <c r="E931" s="96"/>
      <c r="F931" s="154">
        <f t="shared" si="49"/>
        <v>296.61</v>
      </c>
      <c r="G931" s="226"/>
      <c r="H931" s="253"/>
      <c r="I931" s="253"/>
      <c r="J931" s="253"/>
      <c r="K931" s="253"/>
      <c r="L931" s="253"/>
      <c r="M931" s="253"/>
      <c r="N931" s="253"/>
      <c r="O931" s="253"/>
      <c r="P931" s="253"/>
      <c r="Q931" s="253"/>
      <c r="R931" s="253"/>
      <c r="S931" s="253"/>
      <c r="EH931" s="3"/>
      <c r="GS931" s="3"/>
    </row>
    <row r="932" spans="1:201" s="2" customFormat="1" ht="31.5" hidden="1" x14ac:dyDescent="0.2">
      <c r="A932" s="155" t="s">
        <v>1818</v>
      </c>
      <c r="B932" s="381" t="s">
        <v>1204</v>
      </c>
      <c r="C932" s="122" t="s">
        <v>1666</v>
      </c>
      <c r="D932" s="389">
        <v>756.82</v>
      </c>
      <c r="E932" s="96"/>
      <c r="F932" s="154">
        <f t="shared" si="49"/>
        <v>756.82</v>
      </c>
      <c r="G932" s="226"/>
      <c r="H932" s="253"/>
      <c r="I932" s="253"/>
      <c r="J932" s="253"/>
      <c r="K932" s="253"/>
      <c r="L932" s="253"/>
      <c r="M932" s="253"/>
      <c r="N932" s="253"/>
      <c r="O932" s="253"/>
      <c r="P932" s="253"/>
      <c r="Q932" s="253"/>
      <c r="R932" s="253"/>
      <c r="S932" s="253"/>
      <c r="EH932" s="3"/>
      <c r="GS932" s="3"/>
    </row>
    <row r="933" spans="1:201" s="2" customFormat="1" ht="27.75" hidden="1" x14ac:dyDescent="0.2">
      <c r="A933" s="155" t="s">
        <v>1818</v>
      </c>
      <c r="B933" s="381" t="s">
        <v>1205</v>
      </c>
      <c r="C933" s="122" t="s">
        <v>1666</v>
      </c>
      <c r="D933" s="389">
        <v>565.45000000000005</v>
      </c>
      <c r="E933" s="96"/>
      <c r="F933" s="154">
        <f t="shared" si="49"/>
        <v>565.45000000000005</v>
      </c>
      <c r="G933" s="226"/>
      <c r="H933" s="253"/>
      <c r="I933" s="253"/>
      <c r="J933" s="253"/>
      <c r="K933" s="253"/>
      <c r="L933" s="253"/>
      <c r="M933" s="253"/>
      <c r="N933" s="253"/>
      <c r="O933" s="253"/>
      <c r="P933" s="253"/>
      <c r="Q933" s="253"/>
      <c r="R933" s="253"/>
      <c r="S933" s="253"/>
      <c r="EH933" s="3"/>
      <c r="GS933" s="3"/>
    </row>
    <row r="934" spans="1:201" s="2" customFormat="1" ht="37.5" hidden="1" customHeight="1" x14ac:dyDescent="0.2">
      <c r="A934" s="155" t="s">
        <v>1818</v>
      </c>
      <c r="B934" s="381" t="s">
        <v>1206</v>
      </c>
      <c r="C934" s="122" t="s">
        <v>1666</v>
      </c>
      <c r="D934" s="389">
        <v>290.68</v>
      </c>
      <c r="E934" s="96"/>
      <c r="F934" s="154">
        <f t="shared" si="49"/>
        <v>290.68</v>
      </c>
      <c r="G934" s="156"/>
      <c r="H934" s="253"/>
      <c r="I934" s="253"/>
      <c r="J934" s="253"/>
      <c r="K934" s="253"/>
      <c r="L934" s="253"/>
      <c r="M934" s="253"/>
      <c r="N934" s="253"/>
      <c r="O934" s="253"/>
      <c r="P934" s="253"/>
      <c r="Q934" s="253"/>
      <c r="R934" s="253"/>
      <c r="S934" s="253"/>
      <c r="EH934" s="3"/>
      <c r="GS934" s="3"/>
    </row>
    <row r="935" spans="1:201" s="2" customFormat="1" ht="36" hidden="1" customHeight="1" x14ac:dyDescent="0.2">
      <c r="A935" s="155" t="s">
        <v>1818</v>
      </c>
      <c r="B935" s="381" t="s">
        <v>1207</v>
      </c>
      <c r="C935" s="122" t="s">
        <v>1666</v>
      </c>
      <c r="D935" s="389">
        <v>505.82</v>
      </c>
      <c r="E935" s="96"/>
      <c r="F935" s="154">
        <f t="shared" si="49"/>
        <v>505.82</v>
      </c>
      <c r="G935" s="226"/>
      <c r="H935" s="253"/>
      <c r="I935" s="253"/>
      <c r="J935" s="253"/>
      <c r="K935" s="253"/>
      <c r="L935" s="253"/>
      <c r="M935" s="253"/>
      <c r="N935" s="253"/>
      <c r="O935" s="253"/>
      <c r="P935" s="253"/>
      <c r="Q935" s="253"/>
      <c r="R935" s="253"/>
      <c r="S935" s="253"/>
      <c r="EH935" s="3"/>
      <c r="GS935" s="3"/>
    </row>
    <row r="936" spans="1:201" s="2" customFormat="1" ht="27.75" hidden="1" customHeight="1" x14ac:dyDescent="0.2">
      <c r="A936" s="155" t="s">
        <v>1818</v>
      </c>
      <c r="B936" s="381" t="s">
        <v>1208</v>
      </c>
      <c r="C936" s="122" t="s">
        <v>1666</v>
      </c>
      <c r="D936" s="389">
        <v>776.29</v>
      </c>
      <c r="E936" s="96"/>
      <c r="F936" s="154">
        <f t="shared" si="49"/>
        <v>776.29</v>
      </c>
      <c r="G936" s="226"/>
      <c r="H936" s="253"/>
      <c r="I936" s="253"/>
      <c r="J936" s="253"/>
      <c r="K936" s="253"/>
      <c r="L936" s="253"/>
      <c r="M936" s="253"/>
      <c r="N936" s="253"/>
      <c r="O936" s="253"/>
      <c r="P936" s="253"/>
      <c r="Q936" s="253"/>
      <c r="R936" s="253"/>
      <c r="S936" s="253"/>
      <c r="EH936" s="3"/>
      <c r="GS936" s="3"/>
    </row>
    <row r="937" spans="1:201" s="2" customFormat="1" ht="37.5" hidden="1" customHeight="1" x14ac:dyDescent="0.2">
      <c r="A937" s="155" t="s">
        <v>1818</v>
      </c>
      <c r="B937" s="381" t="s">
        <v>1209</v>
      </c>
      <c r="C937" s="122" t="s">
        <v>1666</v>
      </c>
      <c r="D937" s="389">
        <v>351.65</v>
      </c>
      <c r="E937" s="96"/>
      <c r="F937" s="154">
        <f t="shared" si="49"/>
        <v>351.65</v>
      </c>
      <c r="G937" s="226"/>
      <c r="H937" s="253"/>
      <c r="I937" s="253"/>
      <c r="J937" s="253"/>
      <c r="K937" s="253"/>
      <c r="L937" s="253"/>
      <c r="M937" s="253"/>
      <c r="N937" s="253"/>
      <c r="O937" s="253"/>
      <c r="P937" s="253"/>
      <c r="Q937" s="253"/>
      <c r="R937" s="253"/>
      <c r="S937" s="253"/>
      <c r="EH937" s="3"/>
      <c r="GS937" s="3"/>
    </row>
    <row r="938" spans="1:201" s="2" customFormat="1" ht="33.75" hidden="1" customHeight="1" x14ac:dyDescent="0.2">
      <c r="A938" s="155" t="s">
        <v>1818</v>
      </c>
      <c r="B938" s="381" t="s">
        <v>1210</v>
      </c>
      <c r="C938" s="122" t="s">
        <v>1666</v>
      </c>
      <c r="D938" s="389">
        <v>945.9</v>
      </c>
      <c r="E938" s="96"/>
      <c r="F938" s="154">
        <f t="shared" si="49"/>
        <v>945.9</v>
      </c>
      <c r="G938" s="226"/>
      <c r="H938" s="253"/>
      <c r="I938" s="253"/>
      <c r="J938" s="253"/>
      <c r="K938" s="253"/>
      <c r="L938" s="253"/>
      <c r="M938" s="253"/>
      <c r="N938" s="253"/>
      <c r="O938" s="253"/>
      <c r="P938" s="253"/>
      <c r="Q938" s="253"/>
      <c r="R938" s="253"/>
      <c r="S938" s="253"/>
      <c r="EH938" s="3"/>
      <c r="GS938" s="3"/>
    </row>
    <row r="939" spans="1:201" s="2" customFormat="1" ht="39" hidden="1" customHeight="1" x14ac:dyDescent="0.2">
      <c r="A939" s="155" t="s">
        <v>1818</v>
      </c>
      <c r="B939" s="392" t="s">
        <v>1211</v>
      </c>
      <c r="C939" s="122" t="s">
        <v>1666</v>
      </c>
      <c r="D939" s="389">
        <v>336.44</v>
      </c>
      <c r="E939" s="96"/>
      <c r="F939" s="154">
        <f t="shared" si="49"/>
        <v>336.44</v>
      </c>
      <c r="G939" s="226"/>
      <c r="H939" s="253"/>
      <c r="I939" s="253"/>
      <c r="J939" s="253"/>
      <c r="K939" s="253"/>
      <c r="L939" s="253"/>
      <c r="M939" s="253"/>
      <c r="N939" s="253"/>
      <c r="O939" s="253"/>
      <c r="P939" s="253"/>
      <c r="Q939" s="253"/>
      <c r="R939" s="253"/>
      <c r="S939" s="253"/>
      <c r="EH939" s="3"/>
      <c r="GS939" s="3"/>
    </row>
    <row r="940" spans="1:201" s="2" customFormat="1" ht="30.75" customHeight="1" x14ac:dyDescent="0.2">
      <c r="A940" s="155" t="s">
        <v>37</v>
      </c>
      <c r="B940" s="381" t="s">
        <v>1212</v>
      </c>
      <c r="C940" s="122" t="s">
        <v>1666</v>
      </c>
      <c r="D940" s="389">
        <v>525.15</v>
      </c>
      <c r="E940" s="96"/>
      <c r="F940" s="154">
        <f t="shared" si="49"/>
        <v>525.15</v>
      </c>
      <c r="G940" s="253"/>
      <c r="H940" s="253"/>
      <c r="I940" s="253"/>
      <c r="J940" s="253"/>
      <c r="K940" s="253"/>
      <c r="L940" s="253"/>
      <c r="M940" s="253"/>
      <c r="N940" s="253"/>
      <c r="O940" s="253"/>
      <c r="P940" s="253"/>
      <c r="Q940" s="253"/>
      <c r="R940" s="253"/>
      <c r="S940" s="253"/>
      <c r="EH940" s="3"/>
      <c r="GS940" s="3"/>
    </row>
    <row r="941" spans="1:201" s="2" customFormat="1" ht="37.5" hidden="1" customHeight="1" x14ac:dyDescent="0.2">
      <c r="A941" s="155" t="s">
        <v>1818</v>
      </c>
      <c r="B941" s="392" t="s">
        <v>1213</v>
      </c>
      <c r="C941" s="122" t="s">
        <v>1666</v>
      </c>
      <c r="D941" s="389">
        <v>236.44</v>
      </c>
      <c r="E941" s="96"/>
      <c r="F941" s="154">
        <f t="shared" si="49"/>
        <v>236.44</v>
      </c>
      <c r="G941" s="226"/>
      <c r="H941" s="253"/>
      <c r="I941" s="253"/>
      <c r="J941" s="253"/>
      <c r="K941" s="253"/>
      <c r="L941" s="253"/>
      <c r="M941" s="253"/>
      <c r="N941" s="253"/>
      <c r="O941" s="253"/>
      <c r="P941" s="253"/>
      <c r="Q941" s="253"/>
      <c r="R941" s="253"/>
      <c r="S941" s="253"/>
      <c r="EH941" s="3"/>
      <c r="GS941" s="3"/>
    </row>
    <row r="942" spans="1:201" s="2" customFormat="1" ht="29.25" hidden="1" customHeight="1" x14ac:dyDescent="0.2">
      <c r="A942" s="155" t="s">
        <v>1818</v>
      </c>
      <c r="B942" s="381" t="s">
        <v>1214</v>
      </c>
      <c r="C942" s="122" t="s">
        <v>1666</v>
      </c>
      <c r="D942" s="389">
        <v>502.5</v>
      </c>
      <c r="E942" s="96"/>
      <c r="F942" s="154">
        <f t="shared" si="49"/>
        <v>502.5</v>
      </c>
      <c r="G942" s="226"/>
      <c r="H942" s="253"/>
      <c r="I942" s="253"/>
      <c r="J942" s="253"/>
      <c r="K942" s="253"/>
      <c r="L942" s="253"/>
      <c r="M942" s="253"/>
      <c r="N942" s="253"/>
      <c r="O942" s="253"/>
      <c r="P942" s="253"/>
      <c r="Q942" s="253"/>
      <c r="R942" s="253"/>
      <c r="S942" s="253"/>
      <c r="EH942" s="3"/>
      <c r="GS942" s="3"/>
    </row>
    <row r="943" spans="1:201" s="2" customFormat="1" ht="31.5" customHeight="1" x14ac:dyDescent="0.2">
      <c r="A943" s="155" t="s">
        <v>39</v>
      </c>
      <c r="B943" s="381" t="s">
        <v>1215</v>
      </c>
      <c r="C943" s="122" t="s">
        <v>1666</v>
      </c>
      <c r="D943" s="389">
        <v>1310.22</v>
      </c>
      <c r="E943" s="96"/>
      <c r="F943" s="154">
        <f t="shared" si="49"/>
        <v>1310.22</v>
      </c>
      <c r="G943" s="226"/>
      <c r="H943" s="253"/>
      <c r="I943" s="253"/>
      <c r="J943" s="253"/>
      <c r="K943" s="253"/>
      <c r="L943" s="253"/>
      <c r="M943" s="253"/>
      <c r="N943" s="253"/>
      <c r="O943" s="253"/>
      <c r="P943" s="253"/>
      <c r="Q943" s="253"/>
      <c r="R943" s="253"/>
      <c r="S943" s="253"/>
      <c r="EH943" s="3"/>
      <c r="GS943" s="3"/>
    </row>
    <row r="944" spans="1:201" s="2" customFormat="1" ht="33.75" hidden="1" customHeight="1" x14ac:dyDescent="0.2">
      <c r="A944" s="155" t="s">
        <v>1818</v>
      </c>
      <c r="B944" s="381" t="s">
        <v>1216</v>
      </c>
      <c r="C944" s="122" t="s">
        <v>1666</v>
      </c>
      <c r="D944" s="389">
        <v>602.63</v>
      </c>
      <c r="E944" s="96"/>
      <c r="F944" s="154">
        <f t="shared" si="49"/>
        <v>602.63</v>
      </c>
      <c r="G944" s="226"/>
      <c r="H944" s="253"/>
      <c r="I944" s="253"/>
      <c r="J944" s="253"/>
      <c r="K944" s="253"/>
      <c r="L944" s="253"/>
      <c r="M944" s="253"/>
      <c r="N944" s="253"/>
      <c r="O944" s="253"/>
      <c r="P944" s="253"/>
      <c r="Q944" s="253"/>
      <c r="R944" s="253"/>
      <c r="S944" s="253"/>
      <c r="EH944" s="3"/>
      <c r="GS944" s="3"/>
    </row>
    <row r="945" spans="1:201" s="2" customFormat="1" ht="51" hidden="1" customHeight="1" x14ac:dyDescent="0.2">
      <c r="A945" s="155" t="s">
        <v>1818</v>
      </c>
      <c r="B945" s="392" t="s">
        <v>1217</v>
      </c>
      <c r="C945" s="122" t="s">
        <v>1666</v>
      </c>
      <c r="D945" s="389">
        <v>297.45999999999998</v>
      </c>
      <c r="E945" s="96"/>
      <c r="F945" s="154">
        <f t="shared" si="49"/>
        <v>297.45999999999998</v>
      </c>
      <c r="G945" s="226"/>
      <c r="H945" s="253"/>
      <c r="I945" s="253"/>
      <c r="J945" s="253"/>
      <c r="K945" s="253"/>
      <c r="L945" s="253"/>
      <c r="M945" s="253"/>
      <c r="N945" s="253"/>
      <c r="O945" s="253"/>
      <c r="P945" s="253"/>
      <c r="Q945" s="253"/>
      <c r="R945" s="253"/>
      <c r="S945" s="253"/>
      <c r="EH945" s="3"/>
      <c r="GS945" s="3"/>
    </row>
    <row r="946" spans="1:201" s="2" customFormat="1" ht="31.5" hidden="1" customHeight="1" x14ac:dyDescent="0.2">
      <c r="A946" s="155" t="s">
        <v>1818</v>
      </c>
      <c r="B946" s="381" t="s">
        <v>1218</v>
      </c>
      <c r="C946" s="122" t="s">
        <v>1666</v>
      </c>
      <c r="D946" s="389">
        <v>602.63</v>
      </c>
      <c r="E946" s="96"/>
      <c r="F946" s="154">
        <f t="shared" si="49"/>
        <v>602.63</v>
      </c>
      <c r="G946" s="226"/>
      <c r="H946" s="253"/>
      <c r="I946" s="253"/>
      <c r="J946" s="253"/>
      <c r="K946" s="253"/>
      <c r="L946" s="253"/>
      <c r="M946" s="253"/>
      <c r="N946" s="253"/>
      <c r="O946" s="253"/>
      <c r="P946" s="253"/>
      <c r="Q946" s="253"/>
      <c r="R946" s="253"/>
      <c r="S946" s="253"/>
      <c r="EH946" s="3"/>
      <c r="GS946" s="3"/>
    </row>
    <row r="947" spans="1:201" s="2" customFormat="1" ht="52.5" hidden="1" customHeight="1" x14ac:dyDescent="0.2">
      <c r="A947" s="155" t="s">
        <v>1818</v>
      </c>
      <c r="B947" s="392" t="s">
        <v>1219</v>
      </c>
      <c r="C947" s="122" t="s">
        <v>1666</v>
      </c>
      <c r="D947" s="389">
        <v>297.45999999999998</v>
      </c>
      <c r="E947" s="96"/>
      <c r="F947" s="154">
        <f t="shared" si="49"/>
        <v>297.45999999999998</v>
      </c>
      <c r="G947" s="226"/>
      <c r="H947" s="253"/>
      <c r="I947" s="253"/>
      <c r="J947" s="253"/>
      <c r="K947" s="253"/>
      <c r="L947" s="253"/>
      <c r="M947" s="253"/>
      <c r="N947" s="253"/>
      <c r="O947" s="253"/>
      <c r="P947" s="253"/>
      <c r="Q947" s="253"/>
      <c r="R947" s="253"/>
      <c r="S947" s="253"/>
      <c r="EH947" s="3"/>
      <c r="GS947" s="3"/>
    </row>
    <row r="948" spans="1:201" s="2" customFormat="1" ht="5.25" hidden="1" customHeight="1" x14ac:dyDescent="0.2">
      <c r="A948" s="155" t="s">
        <v>1818</v>
      </c>
      <c r="B948" s="381" t="s">
        <v>1220</v>
      </c>
      <c r="C948" s="122" t="s">
        <v>1666</v>
      </c>
      <c r="D948" s="389">
        <v>309.48</v>
      </c>
      <c r="E948" s="96"/>
      <c r="F948" s="154">
        <f t="shared" si="49"/>
        <v>309.48</v>
      </c>
      <c r="G948" s="226"/>
      <c r="H948" s="253"/>
      <c r="I948" s="253"/>
      <c r="J948" s="253"/>
      <c r="K948" s="253"/>
      <c r="L948" s="253"/>
      <c r="M948" s="253"/>
      <c r="N948" s="253"/>
      <c r="O948" s="253"/>
      <c r="P948" s="253"/>
      <c r="Q948" s="253"/>
      <c r="R948" s="253"/>
      <c r="S948" s="253"/>
      <c r="EH948" s="3"/>
      <c r="GS948" s="3"/>
    </row>
    <row r="949" spans="1:201" s="2" customFormat="1" ht="36.75" customHeight="1" x14ac:dyDescent="0.2">
      <c r="A949" s="155" t="s">
        <v>41</v>
      </c>
      <c r="B949" s="381" t="s">
        <v>1221</v>
      </c>
      <c r="C949" s="122" t="s">
        <v>1666</v>
      </c>
      <c r="D949" s="389">
        <v>729.8</v>
      </c>
      <c r="E949" s="96"/>
      <c r="F949" s="154">
        <f t="shared" si="49"/>
        <v>729.8</v>
      </c>
      <c r="G949" s="226"/>
      <c r="H949" s="253"/>
      <c r="I949" s="253"/>
      <c r="J949" s="253"/>
      <c r="K949" s="253"/>
      <c r="L949" s="253"/>
      <c r="M949" s="253"/>
      <c r="N949" s="253"/>
      <c r="O949" s="253"/>
      <c r="P949" s="253"/>
      <c r="Q949" s="253"/>
      <c r="R949" s="253"/>
      <c r="S949" s="253"/>
      <c r="EH949" s="3"/>
      <c r="GS949" s="3"/>
    </row>
    <row r="950" spans="1:201" s="2" customFormat="1" ht="38.25" hidden="1" customHeight="1" x14ac:dyDescent="0.2">
      <c r="A950" s="155" t="s">
        <v>1818</v>
      </c>
      <c r="B950" s="392" t="s">
        <v>1222</v>
      </c>
      <c r="C950" s="122" t="s">
        <v>1666</v>
      </c>
      <c r="D950" s="389">
        <v>320.33999999999997</v>
      </c>
      <c r="E950" s="96"/>
      <c r="F950" s="154">
        <f t="shared" si="49"/>
        <v>320.33999999999997</v>
      </c>
      <c r="G950" s="226"/>
      <c r="H950" s="253"/>
      <c r="I950" s="253"/>
      <c r="J950" s="253"/>
      <c r="K950" s="253"/>
      <c r="L950" s="253"/>
      <c r="M950" s="253"/>
      <c r="N950" s="253"/>
      <c r="O950" s="253"/>
      <c r="P950" s="253"/>
      <c r="Q950" s="253"/>
      <c r="R950" s="253"/>
      <c r="S950" s="253"/>
      <c r="EH950" s="3"/>
      <c r="GS950" s="3"/>
    </row>
    <row r="951" spans="1:201" s="2" customFormat="1" ht="36" hidden="1" customHeight="1" x14ac:dyDescent="0.2">
      <c r="A951" s="155" t="s">
        <v>1818</v>
      </c>
      <c r="B951" s="381" t="s">
        <v>1223</v>
      </c>
      <c r="C951" s="122" t="s">
        <v>1666</v>
      </c>
      <c r="D951" s="389">
        <v>686.03</v>
      </c>
      <c r="E951" s="96"/>
      <c r="F951" s="154">
        <f t="shared" si="49"/>
        <v>686.03</v>
      </c>
      <c r="G951" s="226"/>
      <c r="H951" s="253"/>
      <c r="I951" s="253"/>
      <c r="J951" s="253"/>
      <c r="K951" s="253"/>
      <c r="L951" s="253"/>
      <c r="M951" s="253"/>
      <c r="N951" s="253"/>
      <c r="O951" s="253"/>
      <c r="P951" s="253"/>
      <c r="Q951" s="253"/>
      <c r="R951" s="253"/>
      <c r="S951" s="253"/>
      <c r="EH951" s="3"/>
      <c r="GS951" s="3"/>
    </row>
    <row r="952" spans="1:201" s="2" customFormat="1" ht="39.75" customHeight="1" x14ac:dyDescent="0.2">
      <c r="A952" s="155" t="s">
        <v>44</v>
      </c>
      <c r="B952" s="381" t="s">
        <v>1224</v>
      </c>
      <c r="C952" s="122" t="s">
        <v>1666</v>
      </c>
      <c r="D952" s="389">
        <v>759.34</v>
      </c>
      <c r="E952" s="96"/>
      <c r="F952" s="154">
        <f t="shared" si="49"/>
        <v>759.34</v>
      </c>
      <c r="G952" s="226"/>
      <c r="H952" s="253"/>
      <c r="I952" s="253"/>
      <c r="J952" s="253"/>
      <c r="K952" s="253"/>
      <c r="L952" s="253"/>
      <c r="M952" s="253"/>
      <c r="N952" s="253"/>
      <c r="O952" s="253"/>
      <c r="P952" s="253"/>
      <c r="Q952" s="253"/>
      <c r="R952" s="253"/>
      <c r="S952" s="253"/>
      <c r="EH952" s="3" t="s">
        <v>1225</v>
      </c>
      <c r="GS952" s="3"/>
    </row>
    <row r="953" spans="1:201" s="2" customFormat="1" ht="20.25" hidden="1" customHeight="1" x14ac:dyDescent="0.2">
      <c r="A953" s="155" t="s">
        <v>1819</v>
      </c>
      <c r="B953" s="430" t="s">
        <v>1226</v>
      </c>
      <c r="C953" s="430"/>
      <c r="D953" s="430"/>
      <c r="E953" s="528"/>
      <c r="F953" s="430"/>
      <c r="G953" s="226"/>
      <c r="H953" s="253"/>
      <c r="I953" s="253"/>
      <c r="J953" s="253"/>
      <c r="K953" s="253"/>
      <c r="L953" s="253"/>
      <c r="M953" s="253"/>
      <c r="N953" s="253"/>
      <c r="O953" s="253"/>
      <c r="P953" s="253"/>
      <c r="Q953" s="253"/>
      <c r="R953" s="253"/>
      <c r="S953" s="253"/>
      <c r="EH953" s="3"/>
      <c r="GS953" s="3"/>
    </row>
    <row r="954" spans="1:201" s="2" customFormat="1" ht="15.75" hidden="1" x14ac:dyDescent="0.2">
      <c r="A954" s="155" t="s">
        <v>1819</v>
      </c>
      <c r="B954" s="381" t="s">
        <v>1227</v>
      </c>
      <c r="C954" s="379" t="s">
        <v>236</v>
      </c>
      <c r="D954" s="262">
        <v>846.93</v>
      </c>
      <c r="E954" s="96">
        <f t="shared" ref="E954:E970" si="50">D954*20%</f>
        <v>169.39</v>
      </c>
      <c r="F954" s="154">
        <f t="shared" ref="F954:F973" si="51">D954+E954</f>
        <v>1016.32</v>
      </c>
      <c r="G954" s="226"/>
      <c r="H954" s="253"/>
      <c r="I954" s="253"/>
      <c r="J954" s="253"/>
      <c r="K954" s="253"/>
      <c r="L954" s="253"/>
      <c r="M954" s="253"/>
      <c r="N954" s="253"/>
      <c r="O954" s="253"/>
      <c r="P954" s="253"/>
      <c r="Q954" s="253"/>
      <c r="R954" s="253"/>
      <c r="S954" s="253"/>
      <c r="EH954" s="3"/>
      <c r="GS954" s="3"/>
    </row>
    <row r="955" spans="1:201" s="2" customFormat="1" ht="37.5" hidden="1" customHeight="1" x14ac:dyDescent="0.2">
      <c r="A955" s="155" t="s">
        <v>1819</v>
      </c>
      <c r="B955" s="392" t="s">
        <v>1228</v>
      </c>
      <c r="C955" s="379" t="s">
        <v>236</v>
      </c>
      <c r="D955" s="262">
        <v>434.79</v>
      </c>
      <c r="E955" s="96">
        <f t="shared" si="50"/>
        <v>86.96</v>
      </c>
      <c r="F955" s="154">
        <f t="shared" si="51"/>
        <v>521.75</v>
      </c>
      <c r="G955" s="226"/>
      <c r="H955" s="253"/>
      <c r="I955" s="253"/>
      <c r="J955" s="253"/>
      <c r="K955" s="253"/>
      <c r="L955" s="253"/>
      <c r="M955" s="253"/>
      <c r="N955" s="253"/>
      <c r="O955" s="253"/>
      <c r="P955" s="253"/>
      <c r="Q955" s="253"/>
      <c r="R955" s="253"/>
      <c r="S955" s="253"/>
      <c r="EH955" s="3"/>
      <c r="GS955" s="3"/>
    </row>
    <row r="956" spans="1:201" s="2" customFormat="1" ht="15.75" hidden="1" x14ac:dyDescent="0.2">
      <c r="A956" s="155" t="s">
        <v>1819</v>
      </c>
      <c r="B956" s="381" t="s">
        <v>1229</v>
      </c>
      <c r="C956" s="379" t="s">
        <v>236</v>
      </c>
      <c r="D956" s="262">
        <v>875.6</v>
      </c>
      <c r="E956" s="96">
        <f t="shared" si="50"/>
        <v>175.12</v>
      </c>
      <c r="F956" s="154">
        <f t="shared" si="51"/>
        <v>1050.72</v>
      </c>
      <c r="G956" s="226"/>
      <c r="H956" s="253"/>
      <c r="I956" s="253"/>
      <c r="J956" s="253"/>
      <c r="K956" s="253"/>
      <c r="L956" s="253"/>
      <c r="M956" s="253"/>
      <c r="N956" s="253"/>
      <c r="O956" s="253"/>
      <c r="P956" s="253"/>
      <c r="Q956" s="253"/>
      <c r="R956" s="253"/>
      <c r="S956" s="253"/>
      <c r="EH956" s="3"/>
      <c r="GS956" s="3"/>
    </row>
    <row r="957" spans="1:201" s="2" customFormat="1" ht="35.25" hidden="1" customHeight="1" x14ac:dyDescent="0.2">
      <c r="A957" s="155" t="s">
        <v>1819</v>
      </c>
      <c r="B957" s="392" t="s">
        <v>1230</v>
      </c>
      <c r="C957" s="379" t="s">
        <v>236</v>
      </c>
      <c r="D957" s="262">
        <v>322.02999999999997</v>
      </c>
      <c r="E957" s="96">
        <f t="shared" si="50"/>
        <v>64.41</v>
      </c>
      <c r="F957" s="154">
        <f t="shared" si="51"/>
        <v>386.44</v>
      </c>
      <c r="G957" s="226"/>
      <c r="H957" s="253"/>
      <c r="I957" s="253"/>
      <c r="J957" s="253"/>
      <c r="K957" s="253"/>
      <c r="L957" s="253"/>
      <c r="M957" s="253"/>
      <c r="N957" s="253"/>
      <c r="O957" s="253"/>
      <c r="P957" s="253"/>
      <c r="Q957" s="253"/>
      <c r="R957" s="253"/>
      <c r="S957" s="253"/>
      <c r="EH957" s="3"/>
      <c r="GS957" s="3"/>
    </row>
    <row r="958" spans="1:201" s="2" customFormat="1" ht="15.75" hidden="1" x14ac:dyDescent="0.2">
      <c r="A958" s="155" t="s">
        <v>1819</v>
      </c>
      <c r="B958" s="381" t="s">
        <v>1231</v>
      </c>
      <c r="C958" s="379" t="s">
        <v>236</v>
      </c>
      <c r="D958" s="262">
        <v>640.45000000000005</v>
      </c>
      <c r="E958" s="96">
        <f t="shared" si="50"/>
        <v>128.09</v>
      </c>
      <c r="F958" s="154">
        <f t="shared" si="51"/>
        <v>768.54</v>
      </c>
      <c r="G958" s="226"/>
      <c r="H958" s="253"/>
      <c r="I958" s="253"/>
      <c r="J958" s="253"/>
      <c r="K958" s="253"/>
      <c r="L958" s="253"/>
      <c r="M958" s="253"/>
      <c r="N958" s="253"/>
      <c r="O958" s="253"/>
      <c r="P958" s="253"/>
      <c r="Q958" s="253"/>
      <c r="R958" s="253"/>
      <c r="S958" s="253"/>
      <c r="EH958" s="3"/>
      <c r="GS958" s="3"/>
    </row>
    <row r="959" spans="1:201" s="2" customFormat="1" ht="35.25" hidden="1" customHeight="1" x14ac:dyDescent="0.2">
      <c r="A959" s="155" t="s">
        <v>1819</v>
      </c>
      <c r="B959" s="392" t="s">
        <v>1232</v>
      </c>
      <c r="C959" s="379" t="s">
        <v>236</v>
      </c>
      <c r="D959" s="262">
        <v>322.02999999999997</v>
      </c>
      <c r="E959" s="96">
        <f t="shared" si="50"/>
        <v>64.41</v>
      </c>
      <c r="F959" s="154">
        <f t="shared" si="51"/>
        <v>386.44</v>
      </c>
      <c r="G959" s="226"/>
      <c r="H959" s="253"/>
      <c r="I959" s="253"/>
      <c r="J959" s="253"/>
      <c r="K959" s="253"/>
      <c r="L959" s="253"/>
      <c r="M959" s="253"/>
      <c r="N959" s="253"/>
      <c r="O959" s="253"/>
      <c r="P959" s="253"/>
      <c r="Q959" s="253"/>
      <c r="R959" s="253"/>
      <c r="S959" s="253"/>
      <c r="EH959" s="3"/>
      <c r="GS959" s="3"/>
    </row>
    <row r="960" spans="1:201" s="2" customFormat="1" ht="15.75" hidden="1" x14ac:dyDescent="0.2">
      <c r="A960" s="155" t="s">
        <v>1819</v>
      </c>
      <c r="B960" s="381" t="s">
        <v>1233</v>
      </c>
      <c r="C960" s="379" t="s">
        <v>236</v>
      </c>
      <c r="D960" s="262">
        <v>791.31</v>
      </c>
      <c r="E960" s="96">
        <f t="shared" si="50"/>
        <v>158.26</v>
      </c>
      <c r="F960" s="154">
        <f t="shared" si="51"/>
        <v>949.57</v>
      </c>
      <c r="G960" s="226"/>
      <c r="H960" s="253"/>
      <c r="I960" s="253"/>
      <c r="J960" s="253"/>
      <c r="K960" s="253"/>
      <c r="L960" s="253"/>
      <c r="M960" s="253"/>
      <c r="N960" s="253"/>
      <c r="O960" s="253"/>
      <c r="P960" s="253"/>
      <c r="Q960" s="253"/>
      <c r="R960" s="253"/>
      <c r="S960" s="253"/>
      <c r="EH960" s="3"/>
      <c r="GS960" s="3"/>
    </row>
    <row r="961" spans="1:254" s="2" customFormat="1" ht="55.5" hidden="1" customHeight="1" x14ac:dyDescent="0.2">
      <c r="A961" s="155" t="s">
        <v>1819</v>
      </c>
      <c r="B961" s="392" t="s">
        <v>1234</v>
      </c>
      <c r="C961" s="379" t="s">
        <v>236</v>
      </c>
      <c r="D961" s="262">
        <v>401.7</v>
      </c>
      <c r="E961" s="96">
        <f t="shared" si="50"/>
        <v>80.34</v>
      </c>
      <c r="F961" s="154">
        <f t="shared" si="51"/>
        <v>482.04</v>
      </c>
      <c r="G961" s="226"/>
      <c r="H961" s="253"/>
      <c r="I961" s="253"/>
      <c r="J961" s="253"/>
      <c r="K961" s="253"/>
      <c r="L961" s="253"/>
      <c r="M961" s="253"/>
      <c r="N961" s="253"/>
      <c r="O961" s="253"/>
      <c r="P961" s="253"/>
      <c r="Q961" s="253"/>
      <c r="R961" s="253"/>
      <c r="S961" s="253"/>
      <c r="EH961" s="3"/>
      <c r="GS961" s="3"/>
    </row>
    <row r="962" spans="1:254" s="2" customFormat="1" ht="19.5" hidden="1" customHeight="1" x14ac:dyDescent="0.2">
      <c r="A962" s="155" t="s">
        <v>1819</v>
      </c>
      <c r="B962" s="381" t="s">
        <v>1235</v>
      </c>
      <c r="C962" s="379" t="s">
        <v>236</v>
      </c>
      <c r="D962" s="262">
        <v>777.67</v>
      </c>
      <c r="E962" s="96">
        <f t="shared" si="50"/>
        <v>155.53</v>
      </c>
      <c r="F962" s="154">
        <f t="shared" si="51"/>
        <v>933.2</v>
      </c>
      <c r="G962" s="226"/>
      <c r="H962" s="253"/>
      <c r="I962" s="253"/>
      <c r="J962" s="253"/>
      <c r="K962" s="253"/>
      <c r="L962" s="253"/>
      <c r="M962" s="253"/>
      <c r="N962" s="253"/>
      <c r="O962" s="253"/>
      <c r="P962" s="253"/>
      <c r="Q962" s="253"/>
      <c r="R962" s="253"/>
      <c r="S962" s="253"/>
      <c r="EH962" s="3"/>
      <c r="GS962" s="3"/>
    </row>
    <row r="963" spans="1:254" s="2" customFormat="1" ht="55.5" hidden="1" customHeight="1" x14ac:dyDescent="0.2">
      <c r="A963" s="155" t="s">
        <v>1819</v>
      </c>
      <c r="B963" s="392" t="s">
        <v>1236</v>
      </c>
      <c r="C963" s="379" t="s">
        <v>236</v>
      </c>
      <c r="D963" s="262">
        <v>394.92</v>
      </c>
      <c r="E963" s="96">
        <f t="shared" si="50"/>
        <v>78.98</v>
      </c>
      <c r="F963" s="154">
        <f t="shared" si="51"/>
        <v>473.9</v>
      </c>
      <c r="G963" s="226"/>
      <c r="H963" s="253"/>
      <c r="I963" s="253"/>
      <c r="J963" s="253"/>
      <c r="K963" s="253"/>
      <c r="L963" s="253"/>
      <c r="M963" s="253"/>
      <c r="N963" s="253"/>
      <c r="O963" s="253"/>
      <c r="P963" s="253"/>
      <c r="Q963" s="253"/>
      <c r="R963" s="253"/>
      <c r="S963" s="253"/>
      <c r="EH963" s="3"/>
      <c r="GS963" s="3"/>
    </row>
    <row r="964" spans="1:254" s="2" customFormat="1" ht="15.75" hidden="1" x14ac:dyDescent="0.2">
      <c r="A964" s="155" t="s">
        <v>1819</v>
      </c>
      <c r="B964" s="381" t="s">
        <v>1237</v>
      </c>
      <c r="C964" s="379" t="s">
        <v>236</v>
      </c>
      <c r="D964" s="262">
        <v>875.6</v>
      </c>
      <c r="E964" s="96">
        <f t="shared" si="50"/>
        <v>175.12</v>
      </c>
      <c r="F964" s="154">
        <f t="shared" si="51"/>
        <v>1050.72</v>
      </c>
      <c r="G964" s="226"/>
      <c r="H964" s="253"/>
      <c r="I964" s="253"/>
      <c r="J964" s="253"/>
      <c r="K964" s="253"/>
      <c r="L964" s="253"/>
      <c r="M964" s="253"/>
      <c r="N964" s="253"/>
      <c r="O964" s="253"/>
      <c r="P964" s="253"/>
      <c r="Q964" s="253"/>
      <c r="R964" s="253"/>
      <c r="S964" s="253"/>
      <c r="EH964" s="3"/>
      <c r="GS964" s="3"/>
    </row>
    <row r="965" spans="1:254" s="2" customFormat="1" ht="45" hidden="1" customHeight="1" x14ac:dyDescent="0.2">
      <c r="A965" s="155" t="s">
        <v>1819</v>
      </c>
      <c r="B965" s="392" t="s">
        <v>1238</v>
      </c>
      <c r="C965" s="379" t="s">
        <v>236</v>
      </c>
      <c r="D965" s="262">
        <v>322.02999999999997</v>
      </c>
      <c r="E965" s="96">
        <f t="shared" si="50"/>
        <v>64.41</v>
      </c>
      <c r="F965" s="154">
        <f t="shared" si="51"/>
        <v>386.44</v>
      </c>
      <c r="G965" s="226"/>
      <c r="H965" s="253"/>
      <c r="I965" s="253"/>
      <c r="J965" s="253"/>
      <c r="K965" s="253"/>
      <c r="L965" s="253"/>
      <c r="M965" s="253"/>
      <c r="N965" s="253"/>
      <c r="O965" s="253"/>
      <c r="P965" s="253"/>
      <c r="Q965" s="253"/>
      <c r="R965" s="253"/>
      <c r="S965" s="253"/>
      <c r="EH965" s="3"/>
      <c r="GS965" s="3"/>
    </row>
    <row r="966" spans="1:254" s="2" customFormat="1" ht="31.5" hidden="1" customHeight="1" x14ac:dyDescent="0.2">
      <c r="A966" s="155" t="s">
        <v>1819</v>
      </c>
      <c r="B966" s="381" t="s">
        <v>1239</v>
      </c>
      <c r="C966" s="379" t="s">
        <v>236</v>
      </c>
      <c r="D966" s="263">
        <v>435.43</v>
      </c>
      <c r="E966" s="96">
        <f t="shared" si="50"/>
        <v>87.09</v>
      </c>
      <c r="F966" s="154">
        <f t="shared" si="51"/>
        <v>522.52</v>
      </c>
      <c r="G966" s="226"/>
      <c r="H966" s="253"/>
      <c r="I966" s="253"/>
      <c r="J966" s="253"/>
      <c r="K966" s="253"/>
      <c r="L966" s="253"/>
      <c r="M966" s="253"/>
      <c r="N966" s="253"/>
      <c r="O966" s="253"/>
      <c r="P966" s="253"/>
      <c r="Q966" s="253"/>
      <c r="R966" s="253"/>
      <c r="S966" s="253"/>
      <c r="EH966" s="3"/>
      <c r="GS966" s="3"/>
    </row>
    <row r="967" spans="1:254" s="2" customFormat="1" ht="33.75" hidden="1" customHeight="1" x14ac:dyDescent="0.2">
      <c r="A967" s="155" t="s">
        <v>1819</v>
      </c>
      <c r="B967" s="381" t="s">
        <v>1240</v>
      </c>
      <c r="C967" s="379" t="s">
        <v>236</v>
      </c>
      <c r="D967" s="263">
        <v>481.42</v>
      </c>
      <c r="E967" s="96">
        <f t="shared" si="50"/>
        <v>96.28</v>
      </c>
      <c r="F967" s="154">
        <f t="shared" si="51"/>
        <v>577.70000000000005</v>
      </c>
      <c r="G967" s="226"/>
      <c r="H967" s="253"/>
      <c r="I967" s="253"/>
      <c r="J967" s="253"/>
      <c r="K967" s="253"/>
      <c r="L967" s="253"/>
      <c r="M967" s="253"/>
      <c r="N967" s="253"/>
      <c r="O967" s="253"/>
      <c r="P967" s="253"/>
      <c r="Q967" s="253"/>
      <c r="R967" s="253"/>
      <c r="S967" s="253"/>
      <c r="EH967" s="3"/>
      <c r="GS967" s="3"/>
    </row>
    <row r="968" spans="1:254" s="2" customFormat="1" ht="48" hidden="1" customHeight="1" x14ac:dyDescent="0.2">
      <c r="A968" s="155" t="s">
        <v>1819</v>
      </c>
      <c r="B968" s="392" t="s">
        <v>1241</v>
      </c>
      <c r="C968" s="379" t="s">
        <v>236</v>
      </c>
      <c r="D968" s="263">
        <v>228.01</v>
      </c>
      <c r="E968" s="96">
        <f t="shared" si="50"/>
        <v>45.6</v>
      </c>
      <c r="F968" s="154">
        <f t="shared" si="51"/>
        <v>273.61</v>
      </c>
      <c r="G968" s="226"/>
      <c r="H968" s="253"/>
      <c r="I968" s="253"/>
      <c r="J968" s="253"/>
      <c r="K968" s="253"/>
      <c r="L968" s="253"/>
      <c r="M968" s="253"/>
      <c r="N968" s="253"/>
      <c r="O968" s="253"/>
      <c r="P968" s="253"/>
      <c r="Q968" s="253"/>
      <c r="R968" s="253"/>
      <c r="S968" s="253"/>
      <c r="EH968" s="3"/>
      <c r="GS968" s="3"/>
    </row>
    <row r="969" spans="1:254" s="2" customFormat="1" ht="34.5" hidden="1" customHeight="1" x14ac:dyDescent="0.2">
      <c r="A969" s="155" t="s">
        <v>1819</v>
      </c>
      <c r="B969" s="381" t="s">
        <v>1242</v>
      </c>
      <c r="C969" s="379" t="s">
        <v>236</v>
      </c>
      <c r="D969" s="263">
        <v>421.96</v>
      </c>
      <c r="E969" s="96">
        <f t="shared" si="50"/>
        <v>84.39</v>
      </c>
      <c r="F969" s="154">
        <f t="shared" si="51"/>
        <v>506.35</v>
      </c>
      <c r="G969" s="226"/>
      <c r="H969" s="253"/>
      <c r="I969" s="253"/>
      <c r="J969" s="253"/>
      <c r="K969" s="253"/>
      <c r="L969" s="253"/>
      <c r="M969" s="253"/>
      <c r="N969" s="253"/>
      <c r="O969" s="253"/>
      <c r="P969" s="253"/>
      <c r="Q969" s="253"/>
      <c r="R969" s="253"/>
      <c r="S969" s="253"/>
      <c r="EH969" s="3"/>
      <c r="GS969" s="3"/>
    </row>
    <row r="970" spans="1:254" s="2" customFormat="1" ht="66.75" hidden="1" customHeight="1" x14ac:dyDescent="0.2">
      <c r="A970" s="155" t="s">
        <v>1819</v>
      </c>
      <c r="B970" s="392" t="s">
        <v>1243</v>
      </c>
      <c r="C970" s="379" t="s">
        <v>236</v>
      </c>
      <c r="D970" s="263">
        <v>205.93</v>
      </c>
      <c r="E970" s="96">
        <f t="shared" si="50"/>
        <v>41.19</v>
      </c>
      <c r="F970" s="154">
        <f t="shared" si="51"/>
        <v>247.12</v>
      </c>
      <c r="G970" s="226"/>
      <c r="H970" s="253"/>
      <c r="I970" s="253"/>
      <c r="J970" s="253"/>
      <c r="K970" s="253"/>
      <c r="L970" s="253"/>
      <c r="M970" s="253"/>
      <c r="N970" s="253"/>
      <c r="O970" s="253"/>
      <c r="P970" s="253"/>
      <c r="Q970" s="253"/>
      <c r="R970" s="253"/>
      <c r="S970" s="253"/>
      <c r="EH970" s="3"/>
      <c r="GS970" s="3"/>
    </row>
    <row r="971" spans="1:254" s="2" customFormat="1" ht="36" customHeight="1" x14ac:dyDescent="0.2">
      <c r="A971" s="155" t="s">
        <v>46</v>
      </c>
      <c r="B971" s="381" t="s">
        <v>1244</v>
      </c>
      <c r="C971" s="122" t="s">
        <v>1666</v>
      </c>
      <c r="D971" s="389">
        <v>517.66</v>
      </c>
      <c r="E971" s="96"/>
      <c r="F971" s="154">
        <f t="shared" si="51"/>
        <v>517.66</v>
      </c>
      <c r="G971" s="253"/>
      <c r="H971" s="253"/>
      <c r="I971" s="253"/>
      <c r="J971" s="253"/>
      <c r="K971" s="253"/>
      <c r="L971" s="253"/>
      <c r="M971" s="253"/>
      <c r="N971" s="253"/>
      <c r="O971" s="253"/>
      <c r="P971" s="253"/>
      <c r="Q971" s="253"/>
      <c r="R971" s="253"/>
      <c r="S971" s="253"/>
      <c r="EH971" s="3"/>
      <c r="GS971" s="3"/>
    </row>
    <row r="972" spans="1:254" s="2" customFormat="1" ht="39.75" customHeight="1" x14ac:dyDescent="0.2">
      <c r="A972" s="155" t="s">
        <v>48</v>
      </c>
      <c r="B972" s="392" t="s">
        <v>1245</v>
      </c>
      <c r="C972" s="122" t="s">
        <v>1666</v>
      </c>
      <c r="D972" s="389">
        <v>473.25</v>
      </c>
      <c r="E972" s="96"/>
      <c r="F972" s="154">
        <f t="shared" si="51"/>
        <v>473.25</v>
      </c>
      <c r="G972" s="226"/>
      <c r="H972" s="253"/>
      <c r="I972" s="253"/>
      <c r="J972" s="96"/>
      <c r="K972" s="253"/>
      <c r="L972" s="253"/>
      <c r="M972" s="253"/>
      <c r="N972" s="253"/>
      <c r="O972" s="253"/>
      <c r="P972" s="253"/>
      <c r="Q972" s="253"/>
      <c r="R972" s="253"/>
      <c r="S972" s="253"/>
      <c r="EH972" s="3"/>
      <c r="GS972" s="3"/>
    </row>
    <row r="973" spans="1:254" s="2" customFormat="1" ht="42" customHeight="1" x14ac:dyDescent="0.2">
      <c r="A973" s="155" t="s">
        <v>50</v>
      </c>
      <c r="B973" s="212" t="s">
        <v>1997</v>
      </c>
      <c r="C973" s="122" t="s">
        <v>1666</v>
      </c>
      <c r="D973" s="389">
        <v>678.85</v>
      </c>
      <c r="E973" s="96"/>
      <c r="F973" s="154">
        <f t="shared" si="51"/>
        <v>678.85</v>
      </c>
      <c r="G973" s="226"/>
      <c r="H973" s="253"/>
      <c r="I973" s="253"/>
      <c r="J973" s="253"/>
      <c r="K973" s="253"/>
      <c r="L973" s="253"/>
      <c r="M973" s="253"/>
      <c r="N973" s="253"/>
      <c r="O973" s="253"/>
      <c r="P973" s="253"/>
      <c r="Q973" s="253"/>
      <c r="R973" s="253"/>
      <c r="S973" s="253"/>
      <c r="EH973" s="3"/>
      <c r="GS973" s="3"/>
    </row>
    <row r="974" spans="1:254" s="2" customFormat="1" ht="30" customHeight="1" x14ac:dyDescent="0.2">
      <c r="A974" s="429" t="s">
        <v>1247</v>
      </c>
      <c r="B974" s="429"/>
      <c r="C974" s="429"/>
      <c r="D974" s="429"/>
      <c r="E974" s="205"/>
      <c r="F974" s="205"/>
      <c r="G974" s="226"/>
      <c r="H974" s="253"/>
      <c r="I974" s="253"/>
      <c r="J974" s="253"/>
      <c r="K974" s="253"/>
      <c r="L974" s="253"/>
      <c r="M974" s="253"/>
      <c r="N974" s="253"/>
      <c r="O974" s="253"/>
      <c r="P974" s="253"/>
      <c r="Q974" s="253"/>
      <c r="R974" s="253"/>
      <c r="S974" s="253"/>
      <c r="EH974" s="3"/>
      <c r="GS974" s="3"/>
    </row>
    <row r="975" spans="1:254" s="2" customFormat="1" ht="42" customHeight="1" x14ac:dyDescent="0.2">
      <c r="A975" s="246" t="s">
        <v>52</v>
      </c>
      <c r="B975" s="381" t="s">
        <v>1248</v>
      </c>
      <c r="C975" s="122" t="s">
        <v>1666</v>
      </c>
      <c r="D975" s="13">
        <v>821.29</v>
      </c>
      <c r="E975" s="96"/>
      <c r="F975" s="96">
        <f t="shared" ref="F975:F981" si="52">D975+E975</f>
        <v>821.29</v>
      </c>
      <c r="G975" s="226"/>
      <c r="H975" s="253"/>
      <c r="I975" s="253"/>
      <c r="J975" s="253"/>
      <c r="K975" s="253"/>
      <c r="L975" s="253"/>
      <c r="M975" s="253"/>
      <c r="N975" s="253"/>
      <c r="O975" s="253"/>
      <c r="P975" s="253"/>
      <c r="Q975" s="253"/>
      <c r="R975" s="253"/>
      <c r="S975" s="253"/>
      <c r="EH975" s="3" t="s">
        <v>1225</v>
      </c>
      <c r="GS975" s="3"/>
      <c r="IT975" s="526"/>
    </row>
    <row r="976" spans="1:254" s="2" customFormat="1" ht="34.5" customHeight="1" x14ac:dyDescent="0.2">
      <c r="A976" s="246" t="s">
        <v>54</v>
      </c>
      <c r="B976" s="381" t="s">
        <v>1249</v>
      </c>
      <c r="C976" s="122" t="s">
        <v>1666</v>
      </c>
      <c r="D976" s="13">
        <v>821.29</v>
      </c>
      <c r="E976" s="96"/>
      <c r="F976" s="96">
        <f t="shared" si="52"/>
        <v>821.29</v>
      </c>
      <c r="G976" s="226"/>
      <c r="H976" s="253"/>
      <c r="I976" s="253"/>
      <c r="J976" s="253"/>
      <c r="K976" s="253"/>
      <c r="L976" s="253"/>
      <c r="M976" s="253"/>
      <c r="N976" s="253"/>
      <c r="O976" s="253"/>
      <c r="P976" s="253"/>
      <c r="Q976" s="253"/>
      <c r="R976" s="253"/>
      <c r="S976" s="253"/>
      <c r="EH976" s="3" t="s">
        <v>1225</v>
      </c>
      <c r="GS976" s="3"/>
      <c r="IT976" s="526"/>
    </row>
    <row r="977" spans="1:256" s="2" customFormat="1" ht="36" customHeight="1" x14ac:dyDescent="0.2">
      <c r="A977" s="246" t="s">
        <v>56</v>
      </c>
      <c r="B977" s="381" t="s">
        <v>1250</v>
      </c>
      <c r="C977" s="122" t="s">
        <v>1666</v>
      </c>
      <c r="D977" s="13">
        <v>821.29</v>
      </c>
      <c r="E977" s="96"/>
      <c r="F977" s="96">
        <f t="shared" si="52"/>
        <v>821.29</v>
      </c>
      <c r="G977" s="226"/>
      <c r="H977" s="253"/>
      <c r="I977" s="253"/>
      <c r="J977" s="253"/>
      <c r="K977" s="253"/>
      <c r="L977" s="253"/>
      <c r="M977" s="253"/>
      <c r="N977" s="253"/>
      <c r="O977" s="253"/>
      <c r="P977" s="253"/>
      <c r="Q977" s="253"/>
      <c r="R977" s="253"/>
      <c r="S977" s="253"/>
      <c r="EH977" s="3" t="s">
        <v>1225</v>
      </c>
      <c r="GS977" s="3"/>
      <c r="IT977" s="526"/>
    </row>
    <row r="978" spans="1:256" s="2" customFormat="1" ht="33.75" hidden="1" customHeight="1" x14ac:dyDescent="0.2">
      <c r="A978" s="246" t="s">
        <v>1820</v>
      </c>
      <c r="B978" s="392" t="s">
        <v>1251</v>
      </c>
      <c r="C978" s="122" t="s">
        <v>1666</v>
      </c>
      <c r="D978" s="13">
        <v>387.29</v>
      </c>
      <c r="E978" s="96"/>
      <c r="F978" s="96">
        <f t="shared" si="52"/>
        <v>387.29</v>
      </c>
      <c r="G978" s="226"/>
      <c r="H978" s="253"/>
      <c r="I978" s="253"/>
      <c r="J978" s="253"/>
      <c r="K978" s="253"/>
      <c r="L978" s="253"/>
      <c r="M978" s="253"/>
      <c r="N978" s="253"/>
      <c r="O978" s="253"/>
      <c r="P978" s="253"/>
      <c r="Q978" s="253"/>
      <c r="R978" s="253"/>
      <c r="S978" s="253"/>
      <c r="EH978" s="3"/>
      <c r="GS978" s="3"/>
      <c r="IT978" s="526"/>
    </row>
    <row r="979" spans="1:256" s="2" customFormat="1" ht="31.5" x14ac:dyDescent="0.2">
      <c r="A979" s="246" t="s">
        <v>58</v>
      </c>
      <c r="B979" s="381" t="s">
        <v>1252</v>
      </c>
      <c r="C979" s="122" t="s">
        <v>1666</v>
      </c>
      <c r="D979" s="13">
        <v>821.29</v>
      </c>
      <c r="E979" s="96"/>
      <c r="F979" s="96">
        <f t="shared" si="52"/>
        <v>821.29</v>
      </c>
      <c r="G979" s="226"/>
      <c r="H979" s="253"/>
      <c r="I979" s="253"/>
      <c r="J979" s="253"/>
      <c r="K979" s="253"/>
      <c r="L979" s="253"/>
      <c r="M979" s="253"/>
      <c r="N979" s="253"/>
      <c r="O979" s="253"/>
      <c r="P979" s="253"/>
      <c r="Q979" s="253"/>
      <c r="R979" s="253"/>
      <c r="S979" s="253"/>
      <c r="EH979" s="3" t="s">
        <v>1225</v>
      </c>
      <c r="GS979" s="3"/>
      <c r="IT979" s="526"/>
    </row>
    <row r="980" spans="1:256" s="2" customFormat="1" ht="27" hidden="1" customHeight="1" x14ac:dyDescent="0.2">
      <c r="A980" s="246" t="s">
        <v>1820</v>
      </c>
      <c r="B980" s="381" t="s">
        <v>1253</v>
      </c>
      <c r="C980" s="379" t="s">
        <v>236</v>
      </c>
      <c r="D980" s="262">
        <v>1645.65</v>
      </c>
      <c r="E980" s="96">
        <f>D980*20%</f>
        <v>329.13</v>
      </c>
      <c r="F980" s="154">
        <f t="shared" si="52"/>
        <v>1974.78</v>
      </c>
      <c r="G980" s="226"/>
      <c r="H980" s="253"/>
      <c r="I980" s="253"/>
      <c r="J980" s="253"/>
      <c r="K980" s="253"/>
      <c r="L980" s="253"/>
      <c r="M980" s="253"/>
      <c r="N980" s="253"/>
      <c r="O980" s="253"/>
      <c r="P980" s="253"/>
      <c r="Q980" s="253"/>
      <c r="R980" s="253"/>
      <c r="S980" s="253"/>
      <c r="EH980" s="3"/>
      <c r="GS980" s="3"/>
    </row>
    <row r="981" spans="1:256" s="2" customFormat="1" ht="31.5" hidden="1" x14ac:dyDescent="0.2">
      <c r="A981" s="246" t="s">
        <v>1820</v>
      </c>
      <c r="B981" s="381" t="s">
        <v>289</v>
      </c>
      <c r="C981" s="379" t="s">
        <v>236</v>
      </c>
      <c r="D981" s="262">
        <v>449.49</v>
      </c>
      <c r="E981" s="96">
        <f>D981*20%</f>
        <v>89.9</v>
      </c>
      <c r="F981" s="154">
        <f t="shared" si="52"/>
        <v>539.39</v>
      </c>
      <c r="G981" s="226"/>
      <c r="H981" s="253"/>
      <c r="I981" s="253"/>
      <c r="J981" s="253"/>
      <c r="K981" s="253"/>
      <c r="L981" s="253"/>
      <c r="M981" s="253"/>
      <c r="N981" s="253"/>
      <c r="O981" s="253"/>
      <c r="P981" s="253"/>
      <c r="Q981" s="253"/>
      <c r="R981" s="253"/>
      <c r="S981" s="253"/>
      <c r="EH981" s="3"/>
      <c r="GS981" s="3"/>
      <c r="IU981" s="2">
        <v>449.49</v>
      </c>
      <c r="IV981" s="305">
        <f>IU981-D981</f>
        <v>0</v>
      </c>
    </row>
    <row r="982" spans="1:256" s="2" customFormat="1" ht="18.75" customHeight="1" x14ac:dyDescent="0.2">
      <c r="A982" s="246" t="s">
        <v>60</v>
      </c>
      <c r="B982" s="430" t="s">
        <v>1254</v>
      </c>
      <c r="C982" s="430"/>
      <c r="D982" s="430"/>
      <c r="E982" s="208"/>
      <c r="F982" s="208"/>
      <c r="G982" s="226"/>
      <c r="H982" s="253"/>
      <c r="I982" s="253"/>
      <c r="J982" s="253"/>
      <c r="K982" s="253"/>
      <c r="L982" s="253"/>
      <c r="M982" s="253"/>
      <c r="N982" s="253"/>
      <c r="O982" s="253"/>
      <c r="P982" s="253"/>
      <c r="Q982" s="253"/>
      <c r="R982" s="253"/>
      <c r="S982" s="253"/>
      <c r="EH982" s="3"/>
      <c r="GS982" s="3"/>
    </row>
    <row r="983" spans="1:256" s="2" customFormat="1" ht="31.5" x14ac:dyDescent="0.2">
      <c r="A983" s="247" t="s">
        <v>951</v>
      </c>
      <c r="B983" s="381" t="s">
        <v>1255</v>
      </c>
      <c r="C983" s="122" t="s">
        <v>1666</v>
      </c>
      <c r="D983" s="379">
        <v>675.49</v>
      </c>
      <c r="E983" s="96"/>
      <c r="F983" s="154">
        <f t="shared" ref="F983:F988" si="53">D983+E983</f>
        <v>675.49</v>
      </c>
      <c r="G983" s="226"/>
      <c r="H983" s="253"/>
      <c r="I983" s="253"/>
      <c r="J983" s="253"/>
      <c r="K983" s="253"/>
      <c r="L983" s="253"/>
      <c r="M983" s="253"/>
      <c r="N983" s="253"/>
      <c r="O983" s="253"/>
      <c r="P983" s="253"/>
      <c r="Q983" s="253"/>
      <c r="R983" s="253"/>
      <c r="S983" s="253"/>
      <c r="EH983" s="3" t="s">
        <v>1225</v>
      </c>
      <c r="GS983" s="3"/>
    </row>
    <row r="984" spans="1:256" s="2" customFormat="1" ht="31.5" x14ac:dyDescent="0.2">
      <c r="A984" s="247" t="s">
        <v>953</v>
      </c>
      <c r="B984" s="381" t="s">
        <v>1256</v>
      </c>
      <c r="C984" s="122" t="s">
        <v>1666</v>
      </c>
      <c r="D984" s="379">
        <v>675.49</v>
      </c>
      <c r="E984" s="96"/>
      <c r="F984" s="154">
        <f t="shared" si="53"/>
        <v>675.49</v>
      </c>
      <c r="G984" s="226"/>
      <c r="H984" s="253"/>
      <c r="I984" s="253"/>
      <c r="J984" s="253"/>
      <c r="K984" s="253"/>
      <c r="L984" s="253"/>
      <c r="M984" s="253"/>
      <c r="N984" s="253"/>
      <c r="O984" s="253"/>
      <c r="P984" s="253"/>
      <c r="Q984" s="253"/>
      <c r="R984" s="253"/>
      <c r="S984" s="253"/>
      <c r="EH984" s="3" t="s">
        <v>1225</v>
      </c>
      <c r="GS984" s="3"/>
    </row>
    <row r="985" spans="1:256" s="2" customFormat="1" ht="0.75" customHeight="1" x14ac:dyDescent="0.2">
      <c r="A985" s="247" t="s">
        <v>1824</v>
      </c>
      <c r="B985" s="392" t="s">
        <v>1257</v>
      </c>
      <c r="C985" s="122" t="s">
        <v>1666</v>
      </c>
      <c r="D985" s="13">
        <v>316.10000000000002</v>
      </c>
      <c r="E985" s="96"/>
      <c r="F985" s="154">
        <f t="shared" si="53"/>
        <v>316.10000000000002</v>
      </c>
      <c r="G985" s="226"/>
      <c r="H985" s="253"/>
      <c r="I985" s="253"/>
      <c r="J985" s="253"/>
      <c r="K985" s="253"/>
      <c r="L985" s="253"/>
      <c r="M985" s="253"/>
      <c r="N985" s="253"/>
      <c r="O985" s="253"/>
      <c r="P985" s="253"/>
      <c r="Q985" s="253"/>
      <c r="R985" s="253"/>
      <c r="S985" s="253"/>
      <c r="EH985" s="3"/>
      <c r="GS985" s="3"/>
    </row>
    <row r="986" spans="1:256" s="2" customFormat="1" ht="36" customHeight="1" x14ac:dyDescent="0.2">
      <c r="A986" s="246" t="s">
        <v>62</v>
      </c>
      <c r="B986" s="381" t="s">
        <v>1258</v>
      </c>
      <c r="C986" s="122" t="s">
        <v>1666</v>
      </c>
      <c r="D986" s="13">
        <v>1412.25</v>
      </c>
      <c r="E986" s="96"/>
      <c r="F986" s="154">
        <f t="shared" si="53"/>
        <v>1412.25</v>
      </c>
      <c r="G986" s="226"/>
      <c r="H986" s="253"/>
      <c r="I986" s="253"/>
      <c r="J986" s="253"/>
      <c r="K986" s="253"/>
      <c r="L986" s="253"/>
      <c r="M986" s="253"/>
      <c r="N986" s="253"/>
      <c r="O986" s="253"/>
      <c r="P986" s="253"/>
      <c r="Q986" s="253"/>
      <c r="R986" s="253"/>
      <c r="S986" s="253"/>
      <c r="EH986" s="3" t="s">
        <v>1225</v>
      </c>
      <c r="GS986" s="3"/>
    </row>
    <row r="987" spans="1:256" s="2" customFormat="1" ht="36" hidden="1" customHeight="1" x14ac:dyDescent="0.2">
      <c r="A987" s="246" t="s">
        <v>1843</v>
      </c>
      <c r="B987" s="392" t="s">
        <v>1259</v>
      </c>
      <c r="C987" s="122" t="s">
        <v>1666</v>
      </c>
      <c r="D987" s="379">
        <v>904.28</v>
      </c>
      <c r="E987" s="96"/>
      <c r="F987" s="154">
        <f t="shared" si="53"/>
        <v>904.28</v>
      </c>
      <c r="G987" s="226"/>
      <c r="H987" s="253"/>
      <c r="I987" s="253"/>
      <c r="J987" s="253"/>
      <c r="K987" s="253"/>
      <c r="L987" s="253"/>
      <c r="M987" s="253"/>
      <c r="N987" s="253"/>
      <c r="O987" s="253"/>
      <c r="P987" s="253"/>
      <c r="Q987" s="253"/>
      <c r="R987" s="253"/>
      <c r="S987" s="253"/>
      <c r="EH987" s="3"/>
      <c r="GS987" s="3"/>
    </row>
    <row r="988" spans="1:256" s="2" customFormat="1" ht="24.75" customHeight="1" x14ac:dyDescent="0.2">
      <c r="A988" s="246" t="s">
        <v>64</v>
      </c>
      <c r="B988" s="381" t="s">
        <v>1260</v>
      </c>
      <c r="C988" s="122" t="s">
        <v>1666</v>
      </c>
      <c r="D988" s="13">
        <v>770.13</v>
      </c>
      <c r="E988" s="96"/>
      <c r="F988" s="154">
        <f t="shared" si="53"/>
        <v>770.13</v>
      </c>
      <c r="G988" s="226"/>
      <c r="H988" s="253"/>
      <c r="I988" s="253"/>
      <c r="J988" s="253"/>
      <c r="K988" s="253"/>
      <c r="L988" s="253"/>
      <c r="M988" s="253"/>
      <c r="N988" s="253"/>
      <c r="O988" s="253"/>
      <c r="P988" s="253"/>
      <c r="Q988" s="253"/>
      <c r="R988" s="253"/>
      <c r="S988" s="253"/>
      <c r="EH988" s="3" t="s">
        <v>1261</v>
      </c>
      <c r="GS988" s="3"/>
    </row>
    <row r="989" spans="1:256" s="2" customFormat="1" ht="24.75" hidden="1" customHeight="1" x14ac:dyDescent="0.2">
      <c r="A989" s="246" t="s">
        <v>1844</v>
      </c>
      <c r="B989" s="381" t="s">
        <v>1263</v>
      </c>
      <c r="C989" s="379" t="s">
        <v>236</v>
      </c>
      <c r="D989" s="262">
        <v>380.45</v>
      </c>
      <c r="E989" s="96">
        <f>D989*20%</f>
        <v>76.09</v>
      </c>
      <c r="F989" s="154">
        <f>D989+E989</f>
        <v>456.54</v>
      </c>
      <c r="G989" s="226"/>
      <c r="H989" s="253"/>
      <c r="I989" s="253"/>
      <c r="J989" s="253"/>
      <c r="K989" s="253"/>
      <c r="L989" s="253"/>
      <c r="M989" s="253"/>
      <c r="N989" s="253"/>
      <c r="O989" s="253"/>
      <c r="P989" s="253"/>
      <c r="Q989" s="253"/>
      <c r="R989" s="253"/>
      <c r="S989" s="253"/>
      <c r="EH989" s="3"/>
      <c r="GS989" s="3"/>
    </row>
    <row r="990" spans="1:256" s="2" customFormat="1" ht="15.75" x14ac:dyDescent="0.2">
      <c r="A990" s="246" t="s">
        <v>66</v>
      </c>
      <c r="B990" s="430" t="s">
        <v>1747</v>
      </c>
      <c r="C990" s="430"/>
      <c r="D990" s="430"/>
      <c r="E990" s="208"/>
      <c r="F990" s="208"/>
      <c r="G990" s="226"/>
      <c r="H990" s="253"/>
      <c r="I990" s="253"/>
      <c r="J990" s="253"/>
      <c r="K990" s="253"/>
      <c r="L990" s="253"/>
      <c r="M990" s="253"/>
      <c r="N990" s="253"/>
      <c r="O990" s="253"/>
      <c r="P990" s="253"/>
      <c r="Q990" s="253"/>
      <c r="R990" s="253"/>
      <c r="S990" s="253"/>
      <c r="EH990" s="3"/>
      <c r="GS990" s="3"/>
    </row>
    <row r="991" spans="1:256" s="2" customFormat="1" ht="19.5" customHeight="1" x14ac:dyDescent="0.2">
      <c r="A991" s="247" t="s">
        <v>969</v>
      </c>
      <c r="B991" s="381" t="s">
        <v>1264</v>
      </c>
      <c r="C991" s="122" t="s">
        <v>1666</v>
      </c>
      <c r="D991" s="13">
        <v>1710.58</v>
      </c>
      <c r="E991" s="96"/>
      <c r="F991" s="154">
        <f t="shared" ref="F991:F1011" si="54">D991+E991</f>
        <v>1710.58</v>
      </c>
      <c r="G991" s="226"/>
      <c r="H991" s="253"/>
      <c r="I991" s="253"/>
      <c r="J991" s="253"/>
      <c r="K991" s="253"/>
      <c r="L991" s="253"/>
      <c r="M991" s="253"/>
      <c r="N991" s="253"/>
      <c r="O991" s="253"/>
      <c r="P991" s="253"/>
      <c r="Q991" s="253"/>
      <c r="R991" s="253"/>
      <c r="S991" s="253"/>
      <c r="EH991" s="3" t="s">
        <v>1225</v>
      </c>
      <c r="GS991" s="3"/>
    </row>
    <row r="992" spans="1:256" s="2" customFormat="1" ht="19.5" customHeight="1" x14ac:dyDescent="0.2">
      <c r="A992" s="247" t="s">
        <v>972</v>
      </c>
      <c r="B992" s="381" t="s">
        <v>1265</v>
      </c>
      <c r="C992" s="122" t="s">
        <v>1666</v>
      </c>
      <c r="D992" s="13">
        <v>1710.58</v>
      </c>
      <c r="E992" s="96"/>
      <c r="F992" s="154">
        <f t="shared" si="54"/>
        <v>1710.58</v>
      </c>
      <c r="G992" s="226"/>
      <c r="H992" s="253"/>
      <c r="I992" s="253"/>
      <c r="J992" s="253"/>
      <c r="K992" s="253"/>
      <c r="L992" s="253"/>
      <c r="M992" s="253"/>
      <c r="N992" s="253"/>
      <c r="O992" s="253"/>
      <c r="P992" s="253"/>
      <c r="Q992" s="253"/>
      <c r="R992" s="253"/>
      <c r="S992" s="253"/>
      <c r="EH992" s="3" t="s">
        <v>1266</v>
      </c>
      <c r="GS992" s="3"/>
    </row>
    <row r="993" spans="1:201" s="2" customFormat="1" ht="31.5" customHeight="1" x14ac:dyDescent="0.2">
      <c r="A993" s="247" t="s">
        <v>965</v>
      </c>
      <c r="B993" s="381" t="s">
        <v>1267</v>
      </c>
      <c r="C993" s="122" t="s">
        <v>1666</v>
      </c>
      <c r="D993" s="13">
        <v>884.44</v>
      </c>
      <c r="E993" s="96"/>
      <c r="F993" s="154">
        <f t="shared" si="54"/>
        <v>884.44</v>
      </c>
      <c r="G993" s="226"/>
      <c r="H993" s="253"/>
      <c r="I993" s="253"/>
      <c r="J993" s="253"/>
      <c r="K993" s="253"/>
      <c r="L993" s="253"/>
      <c r="M993" s="253"/>
      <c r="N993" s="253"/>
      <c r="O993" s="253"/>
      <c r="P993" s="253"/>
      <c r="Q993" s="253"/>
      <c r="R993" s="253"/>
      <c r="S993" s="253"/>
      <c r="EH993" s="3"/>
      <c r="GS993" s="3"/>
    </row>
    <row r="994" spans="1:201" s="2" customFormat="1" ht="19.5" customHeight="1" x14ac:dyDescent="0.2">
      <c r="A994" s="247" t="s">
        <v>976</v>
      </c>
      <c r="B994" s="381" t="s">
        <v>1268</v>
      </c>
      <c r="C994" s="122" t="s">
        <v>1666</v>
      </c>
      <c r="D994" s="13">
        <v>884.44</v>
      </c>
      <c r="E994" s="96"/>
      <c r="F994" s="154">
        <f t="shared" si="54"/>
        <v>884.44</v>
      </c>
      <c r="G994" s="226"/>
      <c r="H994" s="253"/>
      <c r="I994" s="253"/>
      <c r="J994" s="253"/>
      <c r="K994" s="253"/>
      <c r="L994" s="253"/>
      <c r="M994" s="253"/>
      <c r="N994" s="253"/>
      <c r="O994" s="253"/>
      <c r="P994" s="253"/>
      <c r="Q994" s="253"/>
      <c r="R994" s="253"/>
      <c r="S994" s="253"/>
      <c r="EH994" s="3" t="s">
        <v>1225</v>
      </c>
      <c r="GS994" s="3"/>
    </row>
    <row r="995" spans="1:201" s="2" customFormat="1" ht="19.5" customHeight="1" x14ac:dyDescent="0.2">
      <c r="A995" s="247" t="s">
        <v>979</v>
      </c>
      <c r="B995" s="381" t="s">
        <v>1269</v>
      </c>
      <c r="C995" s="122" t="s">
        <v>1666</v>
      </c>
      <c r="D995" s="13">
        <v>884.44</v>
      </c>
      <c r="E995" s="96"/>
      <c r="F995" s="154">
        <f t="shared" si="54"/>
        <v>884.44</v>
      </c>
      <c r="G995" s="226"/>
      <c r="H995" s="253"/>
      <c r="I995" s="253"/>
      <c r="J995" s="253"/>
      <c r="K995" s="253"/>
      <c r="L995" s="253"/>
      <c r="M995" s="253"/>
      <c r="N995" s="253"/>
      <c r="O995" s="253"/>
      <c r="P995" s="253"/>
      <c r="Q995" s="253"/>
      <c r="R995" s="253"/>
      <c r="S995" s="253"/>
      <c r="EH995" s="3" t="s">
        <v>1225</v>
      </c>
      <c r="GS995" s="3"/>
    </row>
    <row r="996" spans="1:201" s="2" customFormat="1" ht="19.5" customHeight="1" x14ac:dyDescent="0.2">
      <c r="A996" s="247" t="s">
        <v>982</v>
      </c>
      <c r="B996" s="381" t="s">
        <v>1270</v>
      </c>
      <c r="C996" s="122" t="s">
        <v>1666</v>
      </c>
      <c r="D996" s="13">
        <v>1002.28</v>
      </c>
      <c r="E996" s="96"/>
      <c r="F996" s="154">
        <f t="shared" si="54"/>
        <v>1002.28</v>
      </c>
      <c r="G996" s="226"/>
      <c r="H996" s="253"/>
      <c r="I996" s="253"/>
      <c r="J996" s="253" t="s">
        <v>1794</v>
      </c>
      <c r="K996" s="253"/>
      <c r="L996" s="253"/>
      <c r="M996" s="253"/>
      <c r="N996" s="253"/>
      <c r="O996" s="253"/>
      <c r="P996" s="253"/>
      <c r="Q996" s="253"/>
      <c r="R996" s="253"/>
      <c r="S996" s="253"/>
      <c r="EH996" s="3"/>
      <c r="GS996" s="3"/>
    </row>
    <row r="997" spans="1:201" s="2" customFormat="1" ht="19.5" customHeight="1" x14ac:dyDescent="0.2">
      <c r="A997" s="247" t="s">
        <v>985</v>
      </c>
      <c r="B997" s="381" t="s">
        <v>1271</v>
      </c>
      <c r="C997" s="122" t="s">
        <v>1666</v>
      </c>
      <c r="D997" s="13">
        <v>1260.8499999999999</v>
      </c>
      <c r="E997" s="96"/>
      <c r="F997" s="154">
        <f t="shared" si="54"/>
        <v>1260.8499999999999</v>
      </c>
      <c r="G997" s="226"/>
      <c r="H997" s="253"/>
      <c r="I997" s="253"/>
      <c r="J997" s="253"/>
      <c r="K997" s="253"/>
      <c r="L997" s="253"/>
      <c r="M997" s="253"/>
      <c r="N997" s="253"/>
      <c r="O997" s="253"/>
      <c r="P997" s="253"/>
      <c r="Q997" s="253"/>
      <c r="R997" s="253"/>
      <c r="S997" s="253"/>
      <c r="EH997" s="3" t="s">
        <v>1272</v>
      </c>
      <c r="GS997" s="3"/>
    </row>
    <row r="998" spans="1:201" s="2" customFormat="1" ht="21.75" customHeight="1" x14ac:dyDescent="0.2">
      <c r="A998" s="247" t="s">
        <v>988</v>
      </c>
      <c r="B998" s="381" t="s">
        <v>1741</v>
      </c>
      <c r="C998" s="122" t="s">
        <v>1666</v>
      </c>
      <c r="D998" s="13">
        <v>2509.85</v>
      </c>
      <c r="E998" s="96"/>
      <c r="F998" s="154"/>
      <c r="G998" s="226"/>
      <c r="H998" s="253"/>
      <c r="I998" s="253"/>
      <c r="J998" s="253"/>
      <c r="K998" s="253"/>
      <c r="L998" s="253"/>
      <c r="M998" s="253"/>
      <c r="N998" s="253"/>
      <c r="O998" s="253"/>
      <c r="P998" s="253"/>
      <c r="Q998" s="253"/>
      <c r="R998" s="253"/>
      <c r="S998" s="253"/>
      <c r="EH998" s="3"/>
      <c r="GS998" s="3"/>
    </row>
    <row r="999" spans="1:201" s="2" customFormat="1" ht="53.25" customHeight="1" x14ac:dyDescent="0.2">
      <c r="A999" s="246" t="s">
        <v>68</v>
      </c>
      <c r="B999" s="408" t="s">
        <v>1273</v>
      </c>
      <c r="C999" s="122" t="s">
        <v>1666</v>
      </c>
      <c r="D999" s="13">
        <v>299.85000000000002</v>
      </c>
      <c r="E999" s="96"/>
      <c r="F999" s="154">
        <f t="shared" si="54"/>
        <v>299.85000000000002</v>
      </c>
      <c r="G999" s="226"/>
      <c r="H999" s="253"/>
      <c r="I999" s="253"/>
      <c r="J999" s="253"/>
      <c r="K999" s="253"/>
      <c r="L999" s="253"/>
      <c r="M999" s="253"/>
      <c r="N999" s="253"/>
      <c r="O999" s="253"/>
      <c r="P999" s="253"/>
      <c r="Q999" s="253"/>
      <c r="R999" s="253"/>
      <c r="S999" s="253"/>
      <c r="EH999" s="3" t="s">
        <v>1272</v>
      </c>
      <c r="GS999" s="3"/>
    </row>
    <row r="1000" spans="1:201" s="2" customFormat="1" ht="23.25" hidden="1" customHeight="1" x14ac:dyDescent="0.45">
      <c r="A1000" s="246" t="s">
        <v>1828</v>
      </c>
      <c r="B1000" s="98" t="s">
        <v>1274</v>
      </c>
      <c r="C1000" s="122" t="s">
        <v>1666</v>
      </c>
      <c r="D1000" s="13">
        <v>448.78</v>
      </c>
      <c r="E1000" s="96"/>
      <c r="F1000" s="154">
        <f t="shared" si="54"/>
        <v>448.78</v>
      </c>
      <c r="G1000" s="226"/>
      <c r="H1000" s="253"/>
      <c r="I1000" s="253"/>
      <c r="J1000" s="253"/>
      <c r="K1000" s="253"/>
      <c r="L1000" s="253"/>
      <c r="M1000" s="253"/>
      <c r="N1000" s="253"/>
      <c r="O1000" s="253"/>
      <c r="P1000" s="253"/>
      <c r="Q1000" s="253"/>
      <c r="R1000" s="253"/>
      <c r="S1000" s="253"/>
      <c r="EH1000" s="3"/>
      <c r="GS1000" s="159"/>
    </row>
    <row r="1001" spans="1:201" s="2" customFormat="1" ht="21.75" customHeight="1" x14ac:dyDescent="0.2">
      <c r="A1001" s="246" t="s">
        <v>71</v>
      </c>
      <c r="B1001" s="381" t="s">
        <v>1275</v>
      </c>
      <c r="C1001" s="122" t="s">
        <v>1666</v>
      </c>
      <c r="D1001" s="13">
        <v>297.2</v>
      </c>
      <c r="E1001" s="96"/>
      <c r="F1001" s="154">
        <f t="shared" si="54"/>
        <v>297.2</v>
      </c>
      <c r="G1001" s="226"/>
      <c r="H1001" s="253"/>
      <c r="I1001" s="253"/>
      <c r="J1001" s="253"/>
      <c r="K1001" s="253"/>
      <c r="L1001" s="253"/>
      <c r="M1001" s="253"/>
      <c r="N1001" s="253"/>
      <c r="O1001" s="253"/>
      <c r="P1001" s="253"/>
      <c r="Q1001" s="253"/>
      <c r="R1001" s="253"/>
      <c r="S1001" s="253"/>
      <c r="EH1001" s="3" t="s">
        <v>1225</v>
      </c>
      <c r="GS1001" s="3"/>
    </row>
    <row r="1002" spans="1:201" s="2" customFormat="1" ht="25.5" customHeight="1" x14ac:dyDescent="0.2">
      <c r="A1002" s="246" t="s">
        <v>73</v>
      </c>
      <c r="B1002" s="381" t="s">
        <v>1276</v>
      </c>
      <c r="C1002" s="122" t="s">
        <v>1666</v>
      </c>
      <c r="D1002" s="13">
        <v>510.38</v>
      </c>
      <c r="E1002" s="96"/>
      <c r="F1002" s="154">
        <f t="shared" si="54"/>
        <v>510.38</v>
      </c>
      <c r="G1002" s="226"/>
      <c r="H1002" s="253"/>
      <c r="I1002" s="253"/>
      <c r="J1002" s="253"/>
      <c r="K1002" s="253"/>
      <c r="L1002" s="253"/>
      <c r="M1002" s="253"/>
      <c r="N1002" s="253"/>
      <c r="O1002" s="253"/>
      <c r="P1002" s="253"/>
      <c r="Q1002" s="253"/>
      <c r="R1002" s="253"/>
      <c r="S1002" s="253"/>
      <c r="EH1002" s="3" t="s">
        <v>1225</v>
      </c>
      <c r="GS1002" s="3"/>
    </row>
    <row r="1003" spans="1:201" s="2" customFormat="1" ht="35.25" customHeight="1" x14ac:dyDescent="0.2">
      <c r="A1003" s="246" t="s">
        <v>75</v>
      </c>
      <c r="B1003" s="381" t="s">
        <v>1277</v>
      </c>
      <c r="C1003" s="122" t="s">
        <v>1666</v>
      </c>
      <c r="D1003" s="13">
        <v>144.18</v>
      </c>
      <c r="E1003" s="96"/>
      <c r="F1003" s="154">
        <f t="shared" si="54"/>
        <v>144.18</v>
      </c>
      <c r="G1003" s="253"/>
      <c r="H1003" s="253"/>
      <c r="I1003" s="253"/>
      <c r="J1003" s="253"/>
      <c r="K1003" s="253"/>
      <c r="L1003" s="253"/>
      <c r="M1003" s="253"/>
      <c r="N1003" s="253"/>
      <c r="O1003" s="253"/>
      <c r="P1003" s="253"/>
      <c r="Q1003" s="253"/>
      <c r="R1003" s="253"/>
      <c r="S1003" s="253"/>
      <c r="EH1003" s="3" t="s">
        <v>1225</v>
      </c>
      <c r="GS1003" s="3"/>
    </row>
    <row r="1004" spans="1:201" s="2" customFormat="1" ht="27.75" hidden="1" customHeight="1" x14ac:dyDescent="0.2">
      <c r="A1004" s="246" t="s">
        <v>1828</v>
      </c>
      <c r="B1004" s="381" t="s">
        <v>1278</v>
      </c>
      <c r="C1004" s="122" t="s">
        <v>1666</v>
      </c>
      <c r="D1004" s="13">
        <v>465.09</v>
      </c>
      <c r="E1004" s="96"/>
      <c r="F1004" s="96">
        <f t="shared" si="54"/>
        <v>465.09</v>
      </c>
      <c r="G1004" s="226"/>
      <c r="H1004" s="253"/>
      <c r="I1004" s="253"/>
      <c r="J1004" s="253"/>
      <c r="K1004" s="253"/>
      <c r="L1004" s="253"/>
      <c r="M1004" s="253"/>
      <c r="N1004" s="253"/>
      <c r="O1004" s="253"/>
      <c r="P1004" s="253"/>
      <c r="Q1004" s="253"/>
      <c r="R1004" s="253"/>
      <c r="S1004" s="253"/>
      <c r="EH1004" s="3"/>
      <c r="GS1004" s="3"/>
    </row>
    <row r="1005" spans="1:201" s="2" customFormat="1" ht="46.5" customHeight="1" x14ac:dyDescent="0.45">
      <c r="A1005" s="246" t="s">
        <v>77</v>
      </c>
      <c r="B1005" s="381" t="s">
        <v>1279</v>
      </c>
      <c r="C1005" s="122" t="s">
        <v>1666</v>
      </c>
      <c r="D1005" s="13">
        <v>4606</v>
      </c>
      <c r="E1005" s="96"/>
      <c r="F1005" s="96">
        <f t="shared" si="54"/>
        <v>4606</v>
      </c>
      <c r="G1005" s="226"/>
      <c r="H1005" s="253"/>
      <c r="I1005" s="253"/>
      <c r="J1005" s="253"/>
      <c r="K1005" s="253"/>
      <c r="L1005" s="253"/>
      <c r="M1005" s="253"/>
      <c r="N1005" s="253"/>
      <c r="O1005" s="253"/>
      <c r="P1005" s="253"/>
      <c r="Q1005" s="253"/>
      <c r="R1005" s="253"/>
      <c r="S1005" s="253"/>
      <c r="EH1005" s="3" t="s">
        <v>1225</v>
      </c>
      <c r="GS1005" s="160"/>
    </row>
    <row r="1006" spans="1:201" s="2" customFormat="1" ht="65.25" customHeight="1" x14ac:dyDescent="0.2">
      <c r="A1006" s="246" t="s">
        <v>79</v>
      </c>
      <c r="B1006" s="381" t="s">
        <v>1243</v>
      </c>
      <c r="C1006" s="122" t="s">
        <v>1666</v>
      </c>
      <c r="D1006" s="13">
        <v>233.8</v>
      </c>
      <c r="E1006" s="96"/>
      <c r="F1006" s="96">
        <f t="shared" si="54"/>
        <v>233.8</v>
      </c>
      <c r="G1006" s="226"/>
      <c r="H1006" s="253"/>
      <c r="I1006" s="253"/>
      <c r="J1006" s="253"/>
      <c r="K1006" s="253"/>
      <c r="L1006" s="253"/>
      <c r="M1006" s="253"/>
      <c r="N1006" s="253"/>
      <c r="O1006" s="253"/>
      <c r="P1006" s="253"/>
      <c r="Q1006" s="253"/>
      <c r="R1006" s="253"/>
      <c r="S1006" s="253"/>
      <c r="EH1006" s="3"/>
      <c r="GS1006" s="3"/>
    </row>
    <row r="1007" spans="1:201" s="2" customFormat="1" ht="42" customHeight="1" x14ac:dyDescent="0.2">
      <c r="A1007" s="246" t="s">
        <v>81</v>
      </c>
      <c r="B1007" s="103" t="s">
        <v>2280</v>
      </c>
      <c r="C1007" s="122" t="s">
        <v>1666</v>
      </c>
      <c r="D1007" s="389">
        <v>798.2</v>
      </c>
      <c r="E1007" s="96"/>
      <c r="F1007" s="96"/>
      <c r="G1007" s="226"/>
      <c r="H1007" s="253"/>
      <c r="I1007" s="253"/>
      <c r="J1007" s="253"/>
      <c r="K1007" s="253"/>
      <c r="L1007" s="253"/>
      <c r="M1007" s="253"/>
      <c r="N1007" s="253"/>
      <c r="O1007" s="253"/>
      <c r="P1007" s="253"/>
      <c r="Q1007" s="253"/>
      <c r="R1007" s="253"/>
      <c r="S1007" s="253"/>
      <c r="EH1007" s="3"/>
      <c r="GS1007" s="3"/>
    </row>
    <row r="1008" spans="1:201" s="2" customFormat="1" ht="42" customHeight="1" x14ac:dyDescent="0.2">
      <c r="A1008" s="246" t="s">
        <v>83</v>
      </c>
      <c r="B1008" s="103" t="s">
        <v>2281</v>
      </c>
      <c r="C1008" s="122" t="s">
        <v>1666</v>
      </c>
      <c r="D1008" s="389">
        <v>793.14</v>
      </c>
      <c r="E1008" s="96"/>
      <c r="F1008" s="96"/>
      <c r="G1008" s="226"/>
      <c r="H1008" s="253"/>
      <c r="I1008" s="253"/>
      <c r="J1008" s="253"/>
      <c r="K1008" s="253"/>
      <c r="L1008" s="253"/>
      <c r="M1008" s="253"/>
      <c r="N1008" s="253"/>
      <c r="O1008" s="253"/>
      <c r="P1008" s="253"/>
      <c r="Q1008" s="253"/>
      <c r="R1008" s="253"/>
      <c r="S1008" s="253"/>
      <c r="EH1008" s="3"/>
      <c r="GS1008" s="3"/>
    </row>
    <row r="1009" spans="1:256" s="2" customFormat="1" ht="42" customHeight="1" x14ac:dyDescent="0.2">
      <c r="A1009" s="246" t="s">
        <v>85</v>
      </c>
      <c r="B1009" s="103" t="s">
        <v>2282</v>
      </c>
      <c r="C1009" s="122" t="s">
        <v>1666</v>
      </c>
      <c r="D1009" s="389">
        <v>973.22</v>
      </c>
      <c r="E1009" s="96"/>
      <c r="F1009" s="96"/>
      <c r="G1009" s="226"/>
      <c r="H1009" s="253"/>
      <c r="I1009" s="253"/>
      <c r="J1009" s="253"/>
      <c r="K1009" s="253"/>
      <c r="L1009" s="253"/>
      <c r="M1009" s="253"/>
      <c r="N1009" s="253"/>
      <c r="O1009" s="253"/>
      <c r="P1009" s="253"/>
      <c r="Q1009" s="253"/>
      <c r="R1009" s="253"/>
      <c r="S1009" s="253"/>
      <c r="EH1009" s="3"/>
      <c r="GS1009" s="3"/>
    </row>
    <row r="1010" spans="1:256" s="2" customFormat="1" ht="42" customHeight="1" x14ac:dyDescent="0.2">
      <c r="A1010" s="246" t="s">
        <v>87</v>
      </c>
      <c r="B1010" s="103" t="s">
        <v>2283</v>
      </c>
      <c r="C1010" s="122" t="s">
        <v>1666</v>
      </c>
      <c r="D1010" s="389">
        <v>689.06</v>
      </c>
      <c r="E1010" s="96"/>
      <c r="F1010" s="96"/>
      <c r="G1010" s="226"/>
      <c r="H1010" s="253"/>
      <c r="I1010" s="253"/>
      <c r="J1010" s="253"/>
      <c r="K1010" s="253"/>
      <c r="L1010" s="253"/>
      <c r="M1010" s="253"/>
      <c r="N1010" s="253"/>
      <c r="O1010" s="253"/>
      <c r="P1010" s="253"/>
      <c r="Q1010" s="253"/>
      <c r="R1010" s="253"/>
      <c r="S1010" s="253"/>
      <c r="EH1010" s="3"/>
      <c r="GS1010" s="3"/>
    </row>
    <row r="1011" spans="1:256" s="2" customFormat="1" ht="17.25" customHeight="1" x14ac:dyDescent="0.2">
      <c r="A1011" s="287"/>
      <c r="B1011" s="156"/>
      <c r="C1011" s="119"/>
      <c r="D1011" s="412"/>
      <c r="E1011" s="96"/>
      <c r="F1011" s="96">
        <f t="shared" si="54"/>
        <v>0</v>
      </c>
      <c r="G1011" s="226"/>
      <c r="H1011" s="253"/>
      <c r="I1011" s="253"/>
      <c r="J1011" s="253"/>
      <c r="K1011" s="253"/>
      <c r="L1011" s="253"/>
      <c r="M1011" s="253"/>
      <c r="N1011" s="253"/>
      <c r="O1011" s="253"/>
      <c r="P1011" s="253"/>
      <c r="Q1011" s="253"/>
      <c r="R1011" s="253"/>
      <c r="S1011" s="253"/>
      <c r="EH1011" s="3"/>
      <c r="GS1011" s="3"/>
    </row>
    <row r="1012" spans="1:256" s="2" customFormat="1" ht="9.75" customHeight="1" x14ac:dyDescent="0.2">
      <c r="A1012" s="287"/>
      <c r="B1012" s="119"/>
      <c r="C1012" s="119"/>
      <c r="D1012" s="288"/>
      <c r="E1012" s="96"/>
      <c r="F1012" s="280">
        <f>D1012+E1012</f>
        <v>0</v>
      </c>
      <c r="G1012" s="253"/>
      <c r="H1012" s="253"/>
      <c r="I1012" s="253"/>
      <c r="J1012" s="253"/>
      <c r="K1012" s="253"/>
      <c r="L1012" s="253"/>
      <c r="M1012" s="253"/>
      <c r="N1012" s="253"/>
      <c r="O1012" s="253"/>
      <c r="P1012" s="253"/>
      <c r="Q1012" s="253"/>
      <c r="R1012" s="253"/>
      <c r="S1012" s="253"/>
      <c r="EH1012" s="344"/>
      <c r="GS1012" s="3"/>
    </row>
    <row r="1013" spans="1:256" s="2" customFormat="1" ht="17.25" customHeight="1" x14ac:dyDescent="0.2">
      <c r="A1013" s="287"/>
      <c r="B1013" s="119"/>
      <c r="C1013" s="119"/>
      <c r="D1013" s="288"/>
      <c r="E1013" s="96"/>
      <c r="F1013" s="280"/>
      <c r="G1013" s="253"/>
      <c r="H1013" s="253"/>
      <c r="I1013" s="253"/>
      <c r="J1013" s="253"/>
      <c r="K1013" s="253"/>
      <c r="L1013" s="253"/>
      <c r="M1013" s="253"/>
      <c r="N1013" s="253"/>
      <c r="O1013" s="253"/>
      <c r="P1013" s="253"/>
      <c r="Q1013" s="253"/>
      <c r="R1013" s="253"/>
      <c r="S1013" s="253"/>
      <c r="EH1013" s="300"/>
      <c r="GS1013" s="3"/>
    </row>
    <row r="1014" spans="1:256" s="2" customFormat="1" ht="20.25" hidden="1" customHeight="1" x14ac:dyDescent="0.2">
      <c r="A1014" s="287"/>
      <c r="B1014" s="119"/>
      <c r="C1014" s="119"/>
      <c r="D1014" s="288"/>
      <c r="E1014" s="96"/>
      <c r="F1014" s="280"/>
      <c r="G1014" s="253"/>
      <c r="H1014" s="253"/>
      <c r="I1014" s="253"/>
      <c r="J1014" s="253"/>
      <c r="K1014" s="253"/>
      <c r="L1014" s="253"/>
      <c r="M1014" s="253"/>
      <c r="N1014" s="253"/>
      <c r="O1014" s="253"/>
      <c r="P1014" s="253"/>
      <c r="Q1014" s="253"/>
      <c r="R1014" s="253"/>
      <c r="S1014" s="253"/>
      <c r="EH1014" s="300"/>
      <c r="GS1014" s="3"/>
    </row>
    <row r="1015" spans="1:256" s="2" customFormat="1" ht="13.5" hidden="1" customHeight="1" x14ac:dyDescent="0.2">
      <c r="A1015" s="164"/>
      <c r="B1015" s="165"/>
      <c r="C1015" s="119"/>
      <c r="D1015" s="119"/>
      <c r="E1015" s="154"/>
      <c r="F1015" s="154"/>
      <c r="G1015" s="226"/>
      <c r="H1015" s="253"/>
      <c r="I1015" s="253"/>
      <c r="J1015" s="253"/>
      <c r="K1015" s="253"/>
      <c r="L1015" s="253"/>
      <c r="M1015" s="253"/>
      <c r="N1015" s="253"/>
      <c r="O1015" s="253"/>
      <c r="P1015" s="253"/>
      <c r="Q1015" s="253"/>
      <c r="R1015" s="253"/>
      <c r="S1015" s="253"/>
      <c r="EH1015" s="3"/>
      <c r="GS1015" s="3"/>
    </row>
    <row r="1016" spans="1:256" s="347" customFormat="1" ht="82.5" customHeight="1" x14ac:dyDescent="0.2">
      <c r="A1016" s="420" t="s">
        <v>2042</v>
      </c>
      <c r="B1016" s="420"/>
      <c r="C1016" s="420"/>
      <c r="D1016" s="420"/>
      <c r="E1016" s="201"/>
      <c r="F1016" s="201"/>
      <c r="G1016" s="226"/>
      <c r="H1016" s="253"/>
      <c r="I1016" s="253"/>
      <c r="J1016" s="253"/>
      <c r="K1016" s="253"/>
      <c r="L1016" s="253"/>
      <c r="M1016" s="253"/>
      <c r="N1016" s="253"/>
      <c r="O1016" s="253"/>
      <c r="P1016" s="253"/>
      <c r="Q1016" s="253"/>
      <c r="R1016" s="253"/>
      <c r="S1016" s="253"/>
      <c r="EH1016" s="348"/>
      <c r="GS1016" s="348"/>
    </row>
    <row r="1017" spans="1:256" s="347" customFormat="1" ht="16.5" hidden="1" customHeight="1" thickBot="1" x14ac:dyDescent="0.25">
      <c r="A1017" s="166"/>
      <c r="B1017" s="167"/>
      <c r="C1017" s="168"/>
      <c r="D1017" s="168"/>
      <c r="E1017" s="169"/>
      <c r="F1017" s="169"/>
      <c r="G1017" s="226"/>
      <c r="H1017" s="253"/>
      <c r="I1017" s="253"/>
      <c r="J1017" s="253"/>
      <c r="K1017" s="253"/>
      <c r="L1017" s="253"/>
      <c r="M1017" s="253"/>
      <c r="N1017" s="253"/>
      <c r="O1017" s="253"/>
      <c r="P1017" s="253"/>
      <c r="Q1017" s="253"/>
      <c r="R1017" s="253"/>
      <c r="S1017" s="253"/>
      <c r="EH1017" s="348"/>
      <c r="GS1017" s="348"/>
    </row>
    <row r="1018" spans="1:256" s="347" customFormat="1" ht="66" customHeight="1" x14ac:dyDescent="0.2">
      <c r="A1018" s="108" t="s">
        <v>1321</v>
      </c>
      <c r="B1018" s="380" t="s">
        <v>1021</v>
      </c>
      <c r="C1018" s="380" t="s">
        <v>9</v>
      </c>
      <c r="D1018" s="386" t="s">
        <v>10</v>
      </c>
      <c r="E1018" s="200"/>
      <c r="F1018" s="371" t="s">
        <v>12</v>
      </c>
      <c r="G1018" s="226"/>
      <c r="H1018" s="253"/>
      <c r="I1018" s="253"/>
      <c r="J1018" s="253"/>
      <c r="K1018" s="253"/>
      <c r="L1018" s="253"/>
      <c r="M1018" s="253"/>
      <c r="N1018" s="253"/>
      <c r="O1018" s="253"/>
      <c r="P1018" s="253"/>
      <c r="Q1018" s="253"/>
      <c r="R1018" s="253"/>
      <c r="S1018" s="253"/>
      <c r="EH1018" s="348"/>
      <c r="GS1018" s="348"/>
    </row>
    <row r="1019" spans="1:256" s="347" customFormat="1" ht="15.75" x14ac:dyDescent="0.2">
      <c r="A1019" s="108">
        <v>1</v>
      </c>
      <c r="B1019" s="170">
        <v>2</v>
      </c>
      <c r="C1019" s="170">
        <v>3</v>
      </c>
      <c r="D1019" s="170">
        <v>4</v>
      </c>
      <c r="E1019" s="228"/>
      <c r="F1019" s="228">
        <v>6</v>
      </c>
      <c r="G1019" s="226"/>
      <c r="H1019" s="253"/>
      <c r="I1019" s="253"/>
      <c r="J1019" s="253"/>
      <c r="K1019" s="253"/>
      <c r="L1019" s="253"/>
      <c r="M1019" s="253"/>
      <c r="N1019" s="253"/>
      <c r="O1019" s="253"/>
      <c r="P1019" s="253"/>
      <c r="Q1019" s="253"/>
      <c r="R1019" s="253"/>
      <c r="S1019" s="253"/>
      <c r="EH1019" s="348"/>
      <c r="GS1019" s="348"/>
    </row>
    <row r="1020" spans="1:256" s="347" customFormat="1" ht="18.75" hidden="1" customHeight="1" x14ac:dyDescent="0.2">
      <c r="A1020" s="429" t="s">
        <v>1322</v>
      </c>
      <c r="B1020" s="429"/>
      <c r="C1020" s="429"/>
      <c r="D1020" s="429"/>
      <c r="E1020" s="527"/>
      <c r="F1020" s="429"/>
      <c r="G1020" s="226"/>
      <c r="H1020" s="253"/>
      <c r="I1020" s="253"/>
      <c r="J1020" s="253"/>
      <c r="K1020" s="253"/>
      <c r="L1020" s="253"/>
      <c r="M1020" s="253"/>
      <c r="N1020" s="253"/>
      <c r="O1020" s="253"/>
      <c r="P1020" s="253"/>
      <c r="Q1020" s="253"/>
      <c r="R1020" s="253"/>
      <c r="S1020" s="253"/>
      <c r="EH1020" s="348"/>
      <c r="GS1020" s="348"/>
      <c r="IV1020" s="347">
        <f>(4.5+100)/100</f>
        <v>1.0449999999999999</v>
      </c>
    </row>
    <row r="1021" spans="1:256" s="347" customFormat="1" ht="50.25" hidden="1" customHeight="1" x14ac:dyDescent="0.2">
      <c r="A1021" s="108" t="s">
        <v>200</v>
      </c>
      <c r="B1021" s="381" t="s">
        <v>1323</v>
      </c>
      <c r="C1021" s="379" t="s">
        <v>962</v>
      </c>
      <c r="D1021" s="263">
        <v>82.15</v>
      </c>
      <c r="E1021" s="96">
        <f t="shared" ref="E1021:E1027" si="55">D1021*20%</f>
        <v>16.43</v>
      </c>
      <c r="F1021" s="154">
        <f>D1021+E1021</f>
        <v>98.58</v>
      </c>
      <c r="G1021" s="226"/>
      <c r="H1021" s="253"/>
      <c r="I1021" s="253"/>
      <c r="J1021" s="253"/>
      <c r="K1021" s="253"/>
      <c r="L1021" s="253"/>
      <c r="M1021" s="253"/>
      <c r="N1021" s="253"/>
      <c r="O1021" s="253"/>
      <c r="P1021" s="253"/>
      <c r="Q1021" s="253"/>
      <c r="R1021" s="253"/>
      <c r="S1021" s="253"/>
      <c r="EH1021" s="348"/>
      <c r="GS1021" s="348"/>
      <c r="HF1021" s="349"/>
      <c r="HG1021" s="350"/>
      <c r="IU1021" s="349">
        <v>66.489999999999995</v>
      </c>
      <c r="IV1021" s="351">
        <f>66.49*1.045</f>
        <v>69.48</v>
      </c>
    </row>
    <row r="1022" spans="1:256" s="347" customFormat="1" ht="47.25" hidden="1" x14ac:dyDescent="0.2">
      <c r="A1022" s="108" t="s">
        <v>204</v>
      </c>
      <c r="B1022" s="381" t="s">
        <v>1324</v>
      </c>
      <c r="C1022" s="379" t="s">
        <v>962</v>
      </c>
      <c r="D1022" s="263">
        <v>82.15</v>
      </c>
      <c r="E1022" s="96">
        <f t="shared" si="55"/>
        <v>16.43</v>
      </c>
      <c r="F1022" s="154">
        <f>D1022+E1022</f>
        <v>98.58</v>
      </c>
      <c r="G1022" s="226"/>
      <c r="H1022" s="253"/>
      <c r="I1022" s="253"/>
      <c r="J1022" s="253"/>
      <c r="K1022" s="253"/>
      <c r="L1022" s="253"/>
      <c r="M1022" s="253"/>
      <c r="N1022" s="253"/>
      <c r="O1022" s="253"/>
      <c r="P1022" s="253"/>
      <c r="Q1022" s="253"/>
      <c r="R1022" s="253"/>
      <c r="S1022" s="253"/>
      <c r="EH1022" s="348"/>
      <c r="GS1022" s="348"/>
      <c r="HF1022" s="349"/>
      <c r="HG1022" s="350"/>
      <c r="IU1022" s="349">
        <v>66.489999999999995</v>
      </c>
      <c r="IV1022" s="351">
        <f>66.49*1.045</f>
        <v>69.48</v>
      </c>
    </row>
    <row r="1023" spans="1:256" s="347" customFormat="1" ht="15.75" hidden="1" x14ac:dyDescent="0.2">
      <c r="A1023" s="108" t="s">
        <v>521</v>
      </c>
      <c r="B1023" s="381" t="s">
        <v>1325</v>
      </c>
      <c r="C1023" s="379"/>
      <c r="D1023" s="263"/>
      <c r="E1023" s="96">
        <f t="shared" si="55"/>
        <v>0</v>
      </c>
      <c r="F1023" s="154"/>
      <c r="G1023" s="226"/>
      <c r="H1023" s="253"/>
      <c r="I1023" s="253"/>
      <c r="J1023" s="253"/>
      <c r="K1023" s="253"/>
      <c r="L1023" s="253"/>
      <c r="M1023" s="253"/>
      <c r="N1023" s="253"/>
      <c r="O1023" s="253"/>
      <c r="P1023" s="253"/>
      <c r="Q1023" s="253"/>
      <c r="R1023" s="253"/>
      <c r="S1023" s="253"/>
      <c r="EH1023" s="348"/>
      <c r="GS1023" s="348"/>
      <c r="HF1023" s="349"/>
      <c r="HG1023" s="350"/>
      <c r="IU1023" s="349"/>
      <c r="IV1023" s="351"/>
    </row>
    <row r="1024" spans="1:256" s="347" customFormat="1" ht="15.75" hidden="1" x14ac:dyDescent="0.2">
      <c r="A1024" s="404" t="s">
        <v>1326</v>
      </c>
      <c r="B1024" s="381" t="s">
        <v>1327</v>
      </c>
      <c r="C1024" s="379" t="s">
        <v>1328</v>
      </c>
      <c r="D1024" s="263">
        <f>45.91*1.04</f>
        <v>47.75</v>
      </c>
      <c r="E1024" s="96">
        <f t="shared" si="55"/>
        <v>9.5500000000000007</v>
      </c>
      <c r="F1024" s="154">
        <f>D1024+E1024</f>
        <v>57.3</v>
      </c>
      <c r="G1024" s="226"/>
      <c r="H1024" s="253"/>
      <c r="I1024" s="253"/>
      <c r="J1024" s="253"/>
      <c r="K1024" s="253"/>
      <c r="L1024" s="253"/>
      <c r="M1024" s="253"/>
      <c r="N1024" s="253"/>
      <c r="O1024" s="253"/>
      <c r="P1024" s="253"/>
      <c r="Q1024" s="253"/>
      <c r="R1024" s="253"/>
      <c r="S1024" s="253"/>
      <c r="EH1024" s="348"/>
      <c r="GS1024" s="348"/>
      <c r="HF1024" s="349"/>
      <c r="HG1024" s="350"/>
      <c r="IU1024" s="349">
        <v>43.93</v>
      </c>
      <c r="IV1024" s="351">
        <f>43.93*1.045</f>
        <v>45.91</v>
      </c>
    </row>
    <row r="1025" spans="1:256" s="347" customFormat="1" ht="15.75" hidden="1" x14ac:dyDescent="0.2">
      <c r="A1025" s="404" t="s">
        <v>1329</v>
      </c>
      <c r="B1025" s="381" t="s">
        <v>1330</v>
      </c>
      <c r="C1025" s="379" t="s">
        <v>1328</v>
      </c>
      <c r="D1025" s="263">
        <f>24.09*1.04</f>
        <v>25.05</v>
      </c>
      <c r="E1025" s="96">
        <f t="shared" si="55"/>
        <v>5.01</v>
      </c>
      <c r="F1025" s="154">
        <f>D1025+E1025</f>
        <v>30.06</v>
      </c>
      <c r="G1025" s="226"/>
      <c r="H1025" s="253"/>
      <c r="I1025" s="253"/>
      <c r="J1025" s="253"/>
      <c r="K1025" s="253"/>
      <c r="L1025" s="253"/>
      <c r="M1025" s="253"/>
      <c r="N1025" s="253"/>
      <c r="O1025" s="253"/>
      <c r="P1025" s="253"/>
      <c r="Q1025" s="253"/>
      <c r="R1025" s="253"/>
      <c r="S1025" s="253"/>
      <c r="EH1025" s="348"/>
      <c r="GS1025" s="348"/>
      <c r="HF1025" s="352"/>
      <c r="HG1025" s="350"/>
      <c r="IU1025" s="352">
        <v>21.95</v>
      </c>
      <c r="IV1025" s="351">
        <f>21.95*1.045</f>
        <v>22.94</v>
      </c>
    </row>
    <row r="1026" spans="1:256" s="347" customFormat="1" ht="15.75" hidden="1" x14ac:dyDescent="0.2">
      <c r="A1026" s="404" t="s">
        <v>1331</v>
      </c>
      <c r="B1026" s="381" t="s">
        <v>1332</v>
      </c>
      <c r="C1026" s="379" t="s">
        <v>1328</v>
      </c>
      <c r="D1026" s="263">
        <f>68.86*1.04</f>
        <v>71.61</v>
      </c>
      <c r="E1026" s="96">
        <f t="shared" si="55"/>
        <v>14.32</v>
      </c>
      <c r="F1026" s="154">
        <f>D1026+E1026</f>
        <v>85.93</v>
      </c>
      <c r="G1026" s="226"/>
      <c r="H1026" s="253"/>
      <c r="I1026" s="253"/>
      <c r="J1026" s="253"/>
      <c r="K1026" s="253"/>
      <c r="L1026" s="253"/>
      <c r="M1026" s="253"/>
      <c r="N1026" s="253"/>
      <c r="O1026" s="253"/>
      <c r="P1026" s="253"/>
      <c r="Q1026" s="253"/>
      <c r="R1026" s="253"/>
      <c r="S1026" s="253"/>
      <c r="EH1026" s="348"/>
      <c r="GS1026" s="348"/>
      <c r="HF1026" s="353"/>
      <c r="HG1026" s="350"/>
      <c r="IU1026" s="353">
        <v>65.89</v>
      </c>
      <c r="IV1026" s="351">
        <f>65.89*1.045</f>
        <v>68.86</v>
      </c>
    </row>
    <row r="1027" spans="1:256" s="347" customFormat="1" ht="33.75" hidden="1" customHeight="1" x14ac:dyDescent="0.2">
      <c r="A1027" s="108" t="s">
        <v>523</v>
      </c>
      <c r="B1027" s="381" t="s">
        <v>1333</v>
      </c>
      <c r="C1027" s="379" t="s">
        <v>962</v>
      </c>
      <c r="D1027" s="263">
        <f>69.48*1.04</f>
        <v>72.260000000000005</v>
      </c>
      <c r="E1027" s="96">
        <f t="shared" si="55"/>
        <v>14.45</v>
      </c>
      <c r="F1027" s="154">
        <f>D1027+E1027</f>
        <v>86.71</v>
      </c>
      <c r="G1027" s="226"/>
      <c r="H1027" s="253"/>
      <c r="I1027" s="253"/>
      <c r="J1027" s="253"/>
      <c r="K1027" s="253"/>
      <c r="L1027" s="253"/>
      <c r="M1027" s="253"/>
      <c r="N1027" s="253"/>
      <c r="O1027" s="253"/>
      <c r="P1027" s="253"/>
      <c r="Q1027" s="253"/>
      <c r="R1027" s="253"/>
      <c r="S1027" s="253"/>
      <c r="EH1027" s="348"/>
      <c r="GS1027" s="348"/>
      <c r="HF1027" s="349"/>
      <c r="HG1027" s="350"/>
      <c r="IU1027" s="349">
        <v>66.489999999999995</v>
      </c>
      <c r="IV1027" s="351">
        <f>66.49*1.045</f>
        <v>69.48</v>
      </c>
    </row>
    <row r="1028" spans="1:256" s="347" customFormat="1" ht="42.75" hidden="1" customHeight="1" x14ac:dyDescent="0.2">
      <c r="A1028" s="429" t="s">
        <v>1334</v>
      </c>
      <c r="B1028" s="429"/>
      <c r="C1028" s="429"/>
      <c r="D1028" s="429"/>
      <c r="E1028" s="429"/>
      <c r="F1028" s="429"/>
      <c r="G1028" s="226"/>
      <c r="H1028" s="253"/>
      <c r="I1028" s="253"/>
      <c r="J1028" s="253"/>
      <c r="K1028" s="253"/>
      <c r="L1028" s="253"/>
      <c r="M1028" s="253"/>
      <c r="N1028" s="253"/>
      <c r="O1028" s="253"/>
      <c r="P1028" s="253"/>
      <c r="Q1028" s="253"/>
      <c r="R1028" s="253"/>
      <c r="S1028" s="253"/>
      <c r="EH1028" s="348"/>
      <c r="GS1028" s="348"/>
    </row>
    <row r="1029" spans="1:256" s="347" customFormat="1" ht="63" hidden="1" customHeight="1" x14ac:dyDescent="0.2">
      <c r="A1029" s="108" t="s">
        <v>14</v>
      </c>
      <c r="B1029" s="437" t="s">
        <v>1335</v>
      </c>
      <c r="C1029" s="437"/>
      <c r="D1029" s="437"/>
      <c r="E1029" s="437"/>
      <c r="F1029" s="437"/>
      <c r="G1029" s="226"/>
      <c r="H1029" s="253"/>
      <c r="I1029" s="253"/>
      <c r="J1029" s="253"/>
      <c r="K1029" s="253"/>
      <c r="L1029" s="253"/>
      <c r="M1029" s="253"/>
      <c r="N1029" s="253"/>
      <c r="O1029" s="253"/>
      <c r="P1029" s="253"/>
      <c r="Q1029" s="253"/>
      <c r="R1029" s="253"/>
      <c r="S1029" s="253"/>
      <c r="EH1029" s="348"/>
      <c r="GS1029" s="348"/>
    </row>
    <row r="1030" spans="1:256" s="347" customFormat="1" ht="64.5" hidden="1" customHeight="1" x14ac:dyDescent="0.2">
      <c r="A1030" s="404" t="s">
        <v>200</v>
      </c>
      <c r="B1030" s="430" t="s">
        <v>1336</v>
      </c>
      <c r="C1030" s="430"/>
      <c r="D1030" s="430"/>
      <c r="E1030" s="430"/>
      <c r="F1030" s="430"/>
      <c r="G1030" s="226"/>
      <c r="H1030" s="253"/>
      <c r="I1030" s="253"/>
      <c r="J1030" s="253"/>
      <c r="K1030" s="253"/>
      <c r="L1030" s="253"/>
      <c r="M1030" s="253"/>
      <c r="N1030" s="253"/>
      <c r="O1030" s="253"/>
      <c r="P1030" s="253"/>
      <c r="Q1030" s="253"/>
      <c r="R1030" s="253"/>
      <c r="S1030" s="253"/>
      <c r="EH1030" s="348"/>
    </row>
    <row r="1031" spans="1:256" s="347" customFormat="1" ht="24" hidden="1" x14ac:dyDescent="0.2">
      <c r="A1031" s="405" t="s">
        <v>1337</v>
      </c>
      <c r="B1031" s="111" t="s">
        <v>1338</v>
      </c>
      <c r="C1031" s="379" t="s">
        <v>202</v>
      </c>
      <c r="D1031" s="263">
        <f>0.87*1.04</f>
        <v>0.9</v>
      </c>
      <c r="E1031" s="96">
        <f>D1031*20%</f>
        <v>0.18</v>
      </c>
      <c r="F1031" s="154">
        <f>D1031+E1031</f>
        <v>1.08</v>
      </c>
      <c r="G1031" s="226"/>
      <c r="H1031" s="253"/>
      <c r="I1031" s="253"/>
      <c r="J1031" s="253"/>
      <c r="K1031" s="253"/>
      <c r="L1031" s="253"/>
      <c r="M1031" s="253"/>
      <c r="N1031" s="253"/>
      <c r="O1031" s="253"/>
      <c r="P1031" s="253"/>
      <c r="Q1031" s="253"/>
      <c r="R1031" s="253"/>
      <c r="S1031" s="253"/>
      <c r="EH1031" s="348"/>
      <c r="HF1031" s="349"/>
      <c r="HG1031" s="350"/>
      <c r="IU1031" s="349">
        <v>0.44</v>
      </c>
      <c r="IV1031" s="351">
        <f>0.44*1.045</f>
        <v>0.46</v>
      </c>
    </row>
    <row r="1032" spans="1:256" s="347" customFormat="1" ht="15.75" hidden="1" x14ac:dyDescent="0.2">
      <c r="A1032" s="405" t="s">
        <v>1339</v>
      </c>
      <c r="B1032" s="111" t="s">
        <v>1340</v>
      </c>
      <c r="C1032" s="379" t="s">
        <v>116</v>
      </c>
      <c r="D1032" s="263">
        <f>329.4*1.04</f>
        <v>342.58</v>
      </c>
      <c r="E1032" s="96">
        <f>D1032*20%</f>
        <v>68.52</v>
      </c>
      <c r="F1032" s="154">
        <f>D1032+E1032</f>
        <v>411.1</v>
      </c>
      <c r="G1032" s="226"/>
      <c r="H1032" s="253"/>
      <c r="I1032" s="253"/>
      <c r="J1032" s="253"/>
      <c r="K1032" s="253"/>
      <c r="L1032" s="253"/>
      <c r="M1032" s="253"/>
      <c r="N1032" s="253"/>
      <c r="O1032" s="253"/>
      <c r="P1032" s="253"/>
      <c r="Q1032" s="253"/>
      <c r="R1032" s="253"/>
      <c r="S1032" s="253"/>
      <c r="EH1032" s="348"/>
      <c r="HF1032" s="349"/>
      <c r="HG1032" s="350"/>
      <c r="IU1032" s="349">
        <v>303.08999999999997</v>
      </c>
      <c r="IV1032" s="351">
        <f>303.09*1.045</f>
        <v>316.73</v>
      </c>
    </row>
    <row r="1033" spans="1:256" s="347" customFormat="1" ht="15.75" hidden="1" x14ac:dyDescent="0.2">
      <c r="A1033" s="405" t="s">
        <v>1341</v>
      </c>
      <c r="B1033" s="111" t="s">
        <v>1342</v>
      </c>
      <c r="C1033" s="379" t="s">
        <v>116</v>
      </c>
      <c r="D1033" s="263">
        <f>344.92*1.04</f>
        <v>358.72</v>
      </c>
      <c r="E1033" s="96">
        <f>D1033*20%</f>
        <v>71.739999999999995</v>
      </c>
      <c r="F1033" s="154">
        <f>D1033+E1033</f>
        <v>430.46</v>
      </c>
      <c r="G1033" s="226"/>
      <c r="H1033" s="253"/>
      <c r="I1033" s="253"/>
      <c r="J1033" s="253"/>
      <c r="K1033" s="253"/>
      <c r="L1033" s="253"/>
      <c r="M1033" s="253"/>
      <c r="N1033" s="253"/>
      <c r="O1033" s="253"/>
      <c r="P1033" s="253"/>
      <c r="Q1033" s="253"/>
      <c r="R1033" s="253"/>
      <c r="S1033" s="253"/>
      <c r="EH1033" s="348"/>
      <c r="HF1033" s="349"/>
      <c r="HG1033" s="350"/>
      <c r="IU1033" s="349">
        <v>317.37</v>
      </c>
      <c r="IV1033" s="351">
        <f>317.37*1.045</f>
        <v>331.65</v>
      </c>
    </row>
    <row r="1034" spans="1:256" s="347" customFormat="1" ht="15.75" hidden="1" x14ac:dyDescent="0.2">
      <c r="A1034" s="405" t="s">
        <v>1343</v>
      </c>
      <c r="B1034" s="111" t="s">
        <v>1344</v>
      </c>
      <c r="C1034" s="379" t="s">
        <v>116</v>
      </c>
      <c r="D1034" s="263">
        <f>359.94*1.04</f>
        <v>374.34</v>
      </c>
      <c r="E1034" s="96">
        <f>D1034*20%</f>
        <v>74.87</v>
      </c>
      <c r="F1034" s="154">
        <f>D1034+E1034</f>
        <v>449.21</v>
      </c>
      <c r="G1034" s="226"/>
      <c r="H1034" s="253"/>
      <c r="I1034" s="253"/>
      <c r="J1034" s="253"/>
      <c r="K1034" s="253"/>
      <c r="L1034" s="253"/>
      <c r="M1034" s="253"/>
      <c r="N1034" s="253"/>
      <c r="O1034" s="253"/>
      <c r="P1034" s="253"/>
      <c r="Q1034" s="253"/>
      <c r="R1034" s="253"/>
      <c r="S1034" s="253"/>
      <c r="EH1034" s="348"/>
      <c r="HF1034" s="349"/>
      <c r="HG1034" s="350"/>
      <c r="IU1034" s="349">
        <v>331.2</v>
      </c>
      <c r="IV1034" s="351">
        <f>331.2*1.045</f>
        <v>346.1</v>
      </c>
    </row>
    <row r="1035" spans="1:256" s="347" customFormat="1" ht="31.5" hidden="1" customHeight="1" x14ac:dyDescent="0.2">
      <c r="A1035" s="405" t="s">
        <v>204</v>
      </c>
      <c r="B1035" s="397" t="s">
        <v>1345</v>
      </c>
      <c r="C1035" s="379" t="s">
        <v>202</v>
      </c>
      <c r="D1035" s="263">
        <f>0.31*1.04</f>
        <v>0.32</v>
      </c>
      <c r="E1035" s="96">
        <f>D1035*20%</f>
        <v>0.06</v>
      </c>
      <c r="F1035" s="154">
        <f>D1035+E1035</f>
        <v>0.38</v>
      </c>
      <c r="G1035" s="226"/>
      <c r="H1035" s="253"/>
      <c r="I1035" s="253"/>
      <c r="J1035" s="253"/>
      <c r="K1035" s="253"/>
      <c r="L1035" s="253"/>
      <c r="M1035" s="253"/>
      <c r="N1035" s="253"/>
      <c r="O1035" s="253"/>
      <c r="P1035" s="253"/>
      <c r="Q1035" s="253"/>
      <c r="R1035" s="253"/>
      <c r="S1035" s="253"/>
      <c r="EH1035" s="348"/>
      <c r="HF1035" s="349"/>
      <c r="HG1035" s="350"/>
      <c r="IU1035" s="349">
        <v>0.03</v>
      </c>
      <c r="IV1035" s="351">
        <f>0.03*1.045</f>
        <v>0.03</v>
      </c>
    </row>
    <row r="1036" spans="1:256" s="347" customFormat="1" ht="15.75" hidden="1" x14ac:dyDescent="0.2">
      <c r="A1036" s="405" t="s">
        <v>521</v>
      </c>
      <c r="B1036" s="430" t="s">
        <v>1346</v>
      </c>
      <c r="C1036" s="430"/>
      <c r="D1036" s="430"/>
      <c r="E1036" s="430"/>
      <c r="F1036" s="430"/>
      <c r="G1036" s="226"/>
      <c r="H1036" s="253"/>
      <c r="I1036" s="253"/>
      <c r="J1036" s="253"/>
      <c r="K1036" s="253"/>
      <c r="L1036" s="253"/>
      <c r="M1036" s="253"/>
      <c r="N1036" s="253"/>
      <c r="O1036" s="253"/>
      <c r="P1036" s="253"/>
      <c r="Q1036" s="253"/>
      <c r="R1036" s="253"/>
      <c r="S1036" s="253"/>
      <c r="EH1036" s="348"/>
      <c r="HG1036" s="350"/>
    </row>
    <row r="1037" spans="1:256" s="347" customFormat="1" ht="15.75" hidden="1" x14ac:dyDescent="0.2">
      <c r="A1037" s="405" t="s">
        <v>1326</v>
      </c>
      <c r="B1037" s="381" t="s">
        <v>1347</v>
      </c>
      <c r="C1037" s="379" t="s">
        <v>1348</v>
      </c>
      <c r="D1037" s="263">
        <f>0.72*1.04</f>
        <v>0.75</v>
      </c>
      <c r="E1037" s="96">
        <f>D1037*20%</f>
        <v>0.15</v>
      </c>
      <c r="F1037" s="154">
        <f>D1037+E1037</f>
        <v>0.9</v>
      </c>
      <c r="G1037" s="226"/>
      <c r="H1037" s="253"/>
      <c r="I1037" s="253"/>
      <c r="J1037" s="253"/>
      <c r="K1037" s="253"/>
      <c r="L1037" s="253"/>
      <c r="M1037" s="253"/>
      <c r="N1037" s="253"/>
      <c r="O1037" s="253"/>
      <c r="P1037" s="253"/>
      <c r="Q1037" s="253"/>
      <c r="R1037" s="253"/>
      <c r="S1037" s="253"/>
      <c r="EH1037" s="348"/>
      <c r="HF1037" s="349"/>
      <c r="HG1037" s="350"/>
      <c r="IU1037" s="349">
        <v>0.66</v>
      </c>
      <c r="IV1037" s="351">
        <f>0.66*1.045</f>
        <v>0.69</v>
      </c>
    </row>
    <row r="1038" spans="1:256" s="347" customFormat="1" ht="15.75" hidden="1" x14ac:dyDescent="0.2">
      <c r="A1038" s="405" t="s">
        <v>1329</v>
      </c>
      <c r="B1038" s="381" t="s">
        <v>1349</v>
      </c>
      <c r="C1038" s="379" t="s">
        <v>116</v>
      </c>
      <c r="D1038" s="263">
        <f>716.08*1.04</f>
        <v>744.72</v>
      </c>
      <c r="E1038" s="96">
        <f>D1038*20%</f>
        <v>148.94</v>
      </c>
      <c r="F1038" s="154">
        <f>D1038+E1038</f>
        <v>893.66</v>
      </c>
      <c r="G1038" s="226"/>
      <c r="H1038" s="253"/>
      <c r="I1038" s="253"/>
      <c r="J1038" s="253"/>
      <c r="K1038" s="253"/>
      <c r="L1038" s="253"/>
      <c r="M1038" s="253"/>
      <c r="N1038" s="253"/>
      <c r="O1038" s="253"/>
      <c r="P1038" s="253"/>
      <c r="Q1038" s="253"/>
      <c r="R1038" s="253"/>
      <c r="S1038" s="253"/>
      <c r="EH1038" s="348"/>
      <c r="HF1038" s="349"/>
      <c r="HG1038" s="350"/>
      <c r="IU1038" s="349">
        <v>658.89</v>
      </c>
      <c r="IV1038" s="351">
        <f>658.89*1.045</f>
        <v>688.54</v>
      </c>
    </row>
    <row r="1039" spans="1:256" s="347" customFormat="1" ht="15.75" hidden="1" x14ac:dyDescent="0.2">
      <c r="A1039" s="405" t="s">
        <v>1331</v>
      </c>
      <c r="B1039" s="381" t="s">
        <v>1350</v>
      </c>
      <c r="C1039" s="379" t="s">
        <v>116</v>
      </c>
      <c r="D1039" s="263">
        <f>835.42*1.04</f>
        <v>868.84</v>
      </c>
      <c r="E1039" s="96">
        <f>D1039*20%</f>
        <v>173.77</v>
      </c>
      <c r="F1039" s="154">
        <f>D1039+E1039</f>
        <v>1042.6099999999999</v>
      </c>
      <c r="G1039" s="226"/>
      <c r="H1039" s="253"/>
      <c r="I1039" s="253"/>
      <c r="J1039" s="253"/>
      <c r="K1039" s="253"/>
      <c r="L1039" s="253"/>
      <c r="M1039" s="253"/>
      <c r="N1039" s="253"/>
      <c r="O1039" s="253"/>
      <c r="P1039" s="253"/>
      <c r="Q1039" s="253"/>
      <c r="R1039" s="253"/>
      <c r="S1039" s="253"/>
      <c r="EH1039" s="348"/>
      <c r="HF1039" s="349"/>
      <c r="HG1039" s="350"/>
      <c r="IU1039" s="349">
        <v>768.7</v>
      </c>
      <c r="IV1039" s="351">
        <f>768.7*1.045</f>
        <v>803.29</v>
      </c>
    </row>
    <row r="1040" spans="1:256" s="347" customFormat="1" ht="15.75" hidden="1" x14ac:dyDescent="0.2">
      <c r="A1040" s="405" t="s">
        <v>1351</v>
      </c>
      <c r="B1040" s="381" t="s">
        <v>1352</v>
      </c>
      <c r="C1040" s="379" t="s">
        <v>116</v>
      </c>
      <c r="D1040" s="263">
        <f>974.11*1.04</f>
        <v>1013.07</v>
      </c>
      <c r="E1040" s="96">
        <f>D1040*20%</f>
        <v>202.61</v>
      </c>
      <c r="F1040" s="154">
        <f>D1040+E1040</f>
        <v>1215.68</v>
      </c>
      <c r="G1040" s="226"/>
      <c r="H1040" s="253"/>
      <c r="I1040" s="253"/>
      <c r="J1040" s="253"/>
      <c r="K1040" s="253"/>
      <c r="L1040" s="253"/>
      <c r="M1040" s="253"/>
      <c r="N1040" s="253"/>
      <c r="O1040" s="253"/>
      <c r="P1040" s="253"/>
      <c r="Q1040" s="253"/>
      <c r="R1040" s="253"/>
      <c r="S1040" s="253"/>
      <c r="EH1040" s="348"/>
      <c r="HF1040" s="349"/>
      <c r="HG1040" s="350"/>
      <c r="IU1040" s="349">
        <v>896.31</v>
      </c>
      <c r="IV1040" s="351">
        <f>896.31*1.045</f>
        <v>936.64</v>
      </c>
    </row>
    <row r="1041" spans="1:256" s="347" customFormat="1" ht="15" hidden="1" customHeight="1" x14ac:dyDescent="0.2">
      <c r="A1041" s="405" t="s">
        <v>523</v>
      </c>
      <c r="B1041" s="430" t="s">
        <v>1353</v>
      </c>
      <c r="C1041" s="430"/>
      <c r="D1041" s="430"/>
      <c r="E1041" s="430"/>
      <c r="F1041" s="430"/>
      <c r="G1041" s="226"/>
      <c r="H1041" s="253"/>
      <c r="I1041" s="253"/>
      <c r="J1041" s="253"/>
      <c r="K1041" s="253"/>
      <c r="L1041" s="253"/>
      <c r="M1041" s="253"/>
      <c r="N1041" s="253"/>
      <c r="O1041" s="253"/>
      <c r="P1041" s="253"/>
      <c r="Q1041" s="253"/>
      <c r="R1041" s="253"/>
      <c r="S1041" s="253"/>
      <c r="EH1041" s="348"/>
    </row>
    <row r="1042" spans="1:256" s="347" customFormat="1" ht="32.25" hidden="1" customHeight="1" x14ac:dyDescent="0.2">
      <c r="A1042" s="405" t="s">
        <v>1354</v>
      </c>
      <c r="B1042" s="430" t="s">
        <v>1355</v>
      </c>
      <c r="C1042" s="430"/>
      <c r="D1042" s="430"/>
      <c r="E1042" s="430"/>
      <c r="F1042" s="430"/>
      <c r="G1042" s="226"/>
      <c r="H1042" s="253"/>
      <c r="I1042" s="253"/>
      <c r="J1042" s="253"/>
      <c r="K1042" s="253"/>
      <c r="L1042" s="253"/>
      <c r="M1042" s="253"/>
      <c r="N1042" s="253"/>
      <c r="O1042" s="253"/>
      <c r="P1042" s="253"/>
      <c r="Q1042" s="253"/>
      <c r="R1042" s="253"/>
      <c r="S1042" s="253"/>
      <c r="EH1042" s="348"/>
    </row>
    <row r="1043" spans="1:256" s="347" customFormat="1" ht="15.75" hidden="1" x14ac:dyDescent="0.2">
      <c r="A1043" s="405" t="s">
        <v>1356</v>
      </c>
      <c r="B1043" s="381" t="s">
        <v>1357</v>
      </c>
      <c r="C1043" s="379" t="s">
        <v>116</v>
      </c>
      <c r="D1043" s="263">
        <f>318.18*1.04</f>
        <v>330.91</v>
      </c>
      <c r="E1043" s="96">
        <f>D1043*20%</f>
        <v>66.180000000000007</v>
      </c>
      <c r="F1043" s="154">
        <f>D1043+E1043</f>
        <v>397.09</v>
      </c>
      <c r="G1043" s="226"/>
      <c r="H1043" s="253"/>
      <c r="I1043" s="253"/>
      <c r="J1043" s="253"/>
      <c r="K1043" s="253"/>
      <c r="L1043" s="253"/>
      <c r="M1043" s="253"/>
      <c r="N1043" s="253"/>
      <c r="O1043" s="253"/>
      <c r="P1043" s="253"/>
      <c r="Q1043" s="253"/>
      <c r="R1043" s="253"/>
      <c r="S1043" s="253"/>
      <c r="EH1043" s="348"/>
      <c r="HF1043" s="349"/>
      <c r="HG1043" s="350"/>
      <c r="IU1043" s="349">
        <v>292.77</v>
      </c>
      <c r="IV1043" s="351">
        <f>292.77*1.045</f>
        <v>305.94</v>
      </c>
    </row>
    <row r="1044" spans="1:256" s="347" customFormat="1" ht="15.75" hidden="1" x14ac:dyDescent="0.2">
      <c r="A1044" s="405" t="s">
        <v>1358</v>
      </c>
      <c r="B1044" s="381" t="s">
        <v>1359</v>
      </c>
      <c r="C1044" s="379" t="s">
        <v>116</v>
      </c>
      <c r="D1044" s="263">
        <f>424.38*1.04</f>
        <v>441.36</v>
      </c>
      <c r="E1044" s="96">
        <f>D1044*20%</f>
        <v>88.27</v>
      </c>
      <c r="F1044" s="154">
        <f>D1044+E1044</f>
        <v>529.63</v>
      </c>
      <c r="G1044" s="226"/>
      <c r="H1044" s="253"/>
      <c r="I1044" s="253"/>
      <c r="J1044" s="253"/>
      <c r="K1044" s="253"/>
      <c r="L1044" s="253"/>
      <c r="M1044" s="253"/>
      <c r="N1044" s="253"/>
      <c r="O1044" s="253"/>
      <c r="P1044" s="253"/>
      <c r="Q1044" s="253"/>
      <c r="R1044" s="253"/>
      <c r="S1044" s="253"/>
      <c r="EH1044" s="348"/>
      <c r="HF1044" s="349"/>
      <c r="HG1044" s="350"/>
      <c r="IU1044" s="349">
        <v>390.49</v>
      </c>
      <c r="IV1044" s="351">
        <f>390.49*1.045</f>
        <v>408.06</v>
      </c>
    </row>
    <row r="1045" spans="1:256" s="347" customFormat="1" ht="15.75" hidden="1" x14ac:dyDescent="0.2">
      <c r="A1045" s="405" t="s">
        <v>1360</v>
      </c>
      <c r="B1045" s="381" t="s">
        <v>1361</v>
      </c>
      <c r="C1045" s="379" t="s">
        <v>116</v>
      </c>
      <c r="D1045" s="263">
        <f>530.61*1.04</f>
        <v>551.83000000000004</v>
      </c>
      <c r="E1045" s="96">
        <f>D1045*20%</f>
        <v>110.37</v>
      </c>
      <c r="F1045" s="154">
        <f>D1045+E1045</f>
        <v>662.2</v>
      </c>
      <c r="G1045" s="226"/>
      <c r="H1045" s="253"/>
      <c r="I1045" s="253"/>
      <c r="J1045" s="253"/>
      <c r="K1045" s="253"/>
      <c r="L1045" s="253"/>
      <c r="M1045" s="253"/>
      <c r="N1045" s="253"/>
      <c r="O1045" s="253"/>
      <c r="P1045" s="253"/>
      <c r="Q1045" s="253"/>
      <c r="R1045" s="253"/>
      <c r="S1045" s="253"/>
      <c r="EH1045" s="348"/>
      <c r="HF1045" s="349"/>
      <c r="HG1045" s="350"/>
      <c r="IU1045" s="349">
        <v>488.23</v>
      </c>
      <c r="IV1045" s="351">
        <f>488.23*1.045</f>
        <v>510.2</v>
      </c>
    </row>
    <row r="1046" spans="1:256" s="347" customFormat="1" ht="30" hidden="1" customHeight="1" x14ac:dyDescent="0.2">
      <c r="A1046" s="405" t="s">
        <v>1362</v>
      </c>
      <c r="B1046" s="436" t="s">
        <v>1363</v>
      </c>
      <c r="C1046" s="436"/>
      <c r="D1046" s="436"/>
      <c r="E1046" s="436"/>
      <c r="F1046" s="436"/>
      <c r="G1046" s="226"/>
      <c r="H1046" s="253"/>
      <c r="I1046" s="253"/>
      <c r="J1046" s="253"/>
      <c r="K1046" s="253"/>
      <c r="L1046" s="253"/>
      <c r="M1046" s="253"/>
      <c r="N1046" s="253"/>
      <c r="O1046" s="253"/>
      <c r="P1046" s="253"/>
      <c r="Q1046" s="253"/>
      <c r="R1046" s="253"/>
      <c r="S1046" s="253"/>
      <c r="EH1046" s="348"/>
      <c r="HG1046" s="350"/>
    </row>
    <row r="1047" spans="1:256" s="347" customFormat="1" ht="15.75" hidden="1" x14ac:dyDescent="0.2">
      <c r="A1047" s="405" t="s">
        <v>1364</v>
      </c>
      <c r="B1047" s="381" t="s">
        <v>1357</v>
      </c>
      <c r="C1047" s="379" t="s">
        <v>1365</v>
      </c>
      <c r="D1047" s="263">
        <f>0.72*1.04</f>
        <v>0.75</v>
      </c>
      <c r="E1047" s="96">
        <f>D1047*20%</f>
        <v>0.15</v>
      </c>
      <c r="F1047" s="154">
        <f>D1047+E1047</f>
        <v>0.9</v>
      </c>
      <c r="G1047" s="226"/>
      <c r="H1047" s="253"/>
      <c r="I1047" s="253"/>
      <c r="J1047" s="253"/>
      <c r="K1047" s="253"/>
      <c r="L1047" s="253"/>
      <c r="M1047" s="253"/>
      <c r="N1047" s="253"/>
      <c r="O1047" s="253"/>
      <c r="P1047" s="253"/>
      <c r="Q1047" s="253"/>
      <c r="R1047" s="253"/>
      <c r="S1047" s="253"/>
      <c r="EH1047" s="348"/>
      <c r="HF1047" s="349"/>
      <c r="HG1047" s="350"/>
      <c r="IU1047" s="349">
        <v>0.66</v>
      </c>
      <c r="IV1047" s="351">
        <f>0.66*1.045</f>
        <v>0.69</v>
      </c>
    </row>
    <row r="1048" spans="1:256" s="347" customFormat="1" ht="15.75" hidden="1" x14ac:dyDescent="0.2">
      <c r="A1048" s="405" t="s">
        <v>1366</v>
      </c>
      <c r="B1048" s="381" t="s">
        <v>1359</v>
      </c>
      <c r="C1048" s="379" t="s">
        <v>1365</v>
      </c>
      <c r="D1048" s="263">
        <f>1.55*1.04</f>
        <v>1.61</v>
      </c>
      <c r="E1048" s="96">
        <f>D1048*20%</f>
        <v>0.32</v>
      </c>
      <c r="F1048" s="154">
        <f>D1048+E1048</f>
        <v>1.93</v>
      </c>
      <c r="G1048" s="226"/>
      <c r="H1048" s="253"/>
      <c r="I1048" s="253"/>
      <c r="J1048" s="253"/>
      <c r="K1048" s="253"/>
      <c r="L1048" s="253"/>
      <c r="M1048" s="253"/>
      <c r="N1048" s="253"/>
      <c r="O1048" s="253"/>
      <c r="P1048" s="253"/>
      <c r="Q1048" s="253"/>
      <c r="R1048" s="253"/>
      <c r="S1048" s="253"/>
      <c r="EH1048" s="348"/>
      <c r="HF1048" s="349"/>
      <c r="HG1048" s="350"/>
      <c r="IU1048" s="349">
        <v>1.43</v>
      </c>
      <c r="IV1048" s="351">
        <f>1.43*1.045</f>
        <v>1.49</v>
      </c>
    </row>
    <row r="1049" spans="1:256" s="347" customFormat="1" ht="15.75" hidden="1" x14ac:dyDescent="0.2">
      <c r="A1049" s="405" t="s">
        <v>1367</v>
      </c>
      <c r="B1049" s="381" t="s">
        <v>1361</v>
      </c>
      <c r="C1049" s="379" t="s">
        <v>1365</v>
      </c>
      <c r="D1049" s="263">
        <f>2.38*1.04</f>
        <v>2.48</v>
      </c>
      <c r="E1049" s="96">
        <f>D1049*20%</f>
        <v>0.5</v>
      </c>
      <c r="F1049" s="154">
        <f>D1049+E1049</f>
        <v>2.98</v>
      </c>
      <c r="G1049" s="226"/>
      <c r="H1049" s="253"/>
      <c r="I1049" s="253"/>
      <c r="J1049" s="253"/>
      <c r="K1049" s="253"/>
      <c r="L1049" s="253"/>
      <c r="M1049" s="253"/>
      <c r="N1049" s="253"/>
      <c r="O1049" s="253"/>
      <c r="P1049" s="253"/>
      <c r="Q1049" s="253"/>
      <c r="R1049" s="253"/>
      <c r="S1049" s="253"/>
      <c r="EH1049" s="348"/>
      <c r="HF1049" s="349"/>
      <c r="HG1049" s="350"/>
      <c r="IU1049" s="349">
        <v>2.19</v>
      </c>
      <c r="IV1049" s="351">
        <f>2.19*1.045</f>
        <v>2.29</v>
      </c>
    </row>
    <row r="1050" spans="1:256" s="347" customFormat="1" ht="17.25" hidden="1" customHeight="1" x14ac:dyDescent="0.2">
      <c r="A1050" s="405" t="s">
        <v>1368</v>
      </c>
      <c r="B1050" s="430" t="s">
        <v>1369</v>
      </c>
      <c r="C1050" s="430"/>
      <c r="D1050" s="430"/>
      <c r="E1050" s="430"/>
      <c r="F1050" s="430"/>
      <c r="G1050" s="226"/>
      <c r="H1050" s="253"/>
      <c r="I1050" s="253"/>
      <c r="J1050" s="253"/>
      <c r="K1050" s="253"/>
      <c r="L1050" s="253"/>
      <c r="M1050" s="253"/>
      <c r="N1050" s="253"/>
      <c r="O1050" s="253"/>
      <c r="P1050" s="253"/>
      <c r="Q1050" s="253"/>
      <c r="R1050" s="253"/>
      <c r="S1050" s="253"/>
      <c r="EH1050" s="348"/>
      <c r="HG1050" s="350"/>
    </row>
    <row r="1051" spans="1:256" s="347" customFormat="1" ht="15.75" hidden="1" x14ac:dyDescent="0.2">
      <c r="A1051" s="405" t="s">
        <v>1370</v>
      </c>
      <c r="B1051" s="381" t="s">
        <v>1357</v>
      </c>
      <c r="C1051" s="379" t="s">
        <v>116</v>
      </c>
      <c r="D1051" s="263">
        <f>23.86*1.04</f>
        <v>24.81</v>
      </c>
      <c r="E1051" s="96">
        <f>D1051*20%</f>
        <v>4.96</v>
      </c>
      <c r="F1051" s="154">
        <f>D1051+E1051</f>
        <v>29.77</v>
      </c>
      <c r="G1051" s="226"/>
      <c r="H1051" s="253"/>
      <c r="I1051" s="253"/>
      <c r="J1051" s="253"/>
      <c r="K1051" s="253"/>
      <c r="L1051" s="253"/>
      <c r="M1051" s="253"/>
      <c r="N1051" s="253"/>
      <c r="O1051" s="253"/>
      <c r="P1051" s="253"/>
      <c r="Q1051" s="253"/>
      <c r="R1051" s="253"/>
      <c r="S1051" s="253"/>
      <c r="EH1051" s="348"/>
      <c r="HF1051" s="349"/>
      <c r="HG1051" s="350"/>
      <c r="IU1051" s="349">
        <v>21.95</v>
      </c>
      <c r="IV1051" s="351">
        <f>21.95*1.045</f>
        <v>22.94</v>
      </c>
    </row>
    <row r="1052" spans="1:256" s="347" customFormat="1" ht="15.75" hidden="1" x14ac:dyDescent="0.2">
      <c r="A1052" s="405" t="s">
        <v>1371</v>
      </c>
      <c r="B1052" s="381" t="s">
        <v>1359</v>
      </c>
      <c r="C1052" s="379" t="s">
        <v>116</v>
      </c>
      <c r="D1052" s="263">
        <f>42.96*1.04</f>
        <v>44.68</v>
      </c>
      <c r="E1052" s="96">
        <f>D1052*20%</f>
        <v>8.94</v>
      </c>
      <c r="F1052" s="154">
        <f>D1052+E1052</f>
        <v>53.62</v>
      </c>
      <c r="G1052" s="226"/>
      <c r="H1052" s="253"/>
      <c r="I1052" s="253"/>
      <c r="J1052" s="253"/>
      <c r="K1052" s="253"/>
      <c r="L1052" s="253"/>
      <c r="M1052" s="253"/>
      <c r="N1052" s="253"/>
      <c r="O1052" s="253"/>
      <c r="P1052" s="253"/>
      <c r="Q1052" s="253"/>
      <c r="R1052" s="253"/>
      <c r="S1052" s="253"/>
      <c r="EH1052" s="348"/>
      <c r="HF1052" s="349"/>
      <c r="HG1052" s="350"/>
      <c r="IU1052" s="349">
        <v>39.53</v>
      </c>
      <c r="IV1052" s="351">
        <f>39.53*1.045</f>
        <v>41.31</v>
      </c>
    </row>
    <row r="1053" spans="1:256" s="347" customFormat="1" ht="23.25" hidden="1" customHeight="1" x14ac:dyDescent="0.2">
      <c r="A1053" s="405" t="s">
        <v>1372</v>
      </c>
      <c r="B1053" s="381" t="s">
        <v>1361</v>
      </c>
      <c r="C1053" s="379" t="s">
        <v>116</v>
      </c>
      <c r="D1053" s="263">
        <f>62.06*1.04</f>
        <v>64.540000000000006</v>
      </c>
      <c r="E1053" s="96">
        <f>D1053*20%</f>
        <v>12.91</v>
      </c>
      <c r="F1053" s="154">
        <f>D1053+E1053</f>
        <v>77.45</v>
      </c>
      <c r="G1053" s="226"/>
      <c r="H1053" s="253"/>
      <c r="I1053" s="253"/>
      <c r="J1053" s="253"/>
      <c r="K1053" s="253"/>
      <c r="L1053" s="253"/>
      <c r="M1053" s="253"/>
      <c r="N1053" s="253"/>
      <c r="O1053" s="253"/>
      <c r="P1053" s="253"/>
      <c r="Q1053" s="253"/>
      <c r="R1053" s="253"/>
      <c r="S1053" s="253"/>
      <c r="EH1053" s="348"/>
      <c r="HF1053" s="349"/>
      <c r="HG1053" s="350"/>
      <c r="IU1053" s="349">
        <v>57.1</v>
      </c>
      <c r="IV1053" s="351">
        <f>57.1*1.045</f>
        <v>59.67</v>
      </c>
    </row>
    <row r="1054" spans="1:256" s="347" customFormat="1" ht="15.75" hidden="1" customHeight="1" x14ac:dyDescent="0.2">
      <c r="A1054" s="405" t="s">
        <v>1373</v>
      </c>
      <c r="B1054" s="430" t="s">
        <v>1374</v>
      </c>
      <c r="C1054" s="430"/>
      <c r="D1054" s="430"/>
      <c r="E1054" s="430"/>
      <c r="F1054" s="430"/>
      <c r="G1054" s="226"/>
      <c r="H1054" s="253"/>
      <c r="I1054" s="253"/>
      <c r="J1054" s="253"/>
      <c r="K1054" s="253"/>
      <c r="L1054" s="253"/>
      <c r="M1054" s="253"/>
      <c r="N1054" s="253"/>
      <c r="O1054" s="253"/>
      <c r="P1054" s="253"/>
      <c r="Q1054" s="253"/>
      <c r="R1054" s="253"/>
      <c r="S1054" s="253"/>
      <c r="EH1054" s="348"/>
      <c r="HG1054" s="350"/>
    </row>
    <row r="1055" spans="1:256" s="347" customFormat="1" ht="15.75" hidden="1" x14ac:dyDescent="0.2">
      <c r="A1055" s="405" t="s">
        <v>1375</v>
      </c>
      <c r="B1055" s="381" t="s">
        <v>1357</v>
      </c>
      <c r="C1055" s="379" t="s">
        <v>116</v>
      </c>
      <c r="D1055" s="263">
        <f>45.35*1.04</f>
        <v>47.16</v>
      </c>
      <c r="E1055" s="96">
        <f>D1055*20%</f>
        <v>9.43</v>
      </c>
      <c r="F1055" s="154">
        <f>D1055+E1055</f>
        <v>56.59</v>
      </c>
      <c r="G1055" s="226"/>
      <c r="H1055" s="253"/>
      <c r="I1055" s="253"/>
      <c r="J1055" s="253"/>
      <c r="K1055" s="253"/>
      <c r="L1055" s="253"/>
      <c r="M1055" s="253"/>
      <c r="N1055" s="253"/>
      <c r="O1055" s="253"/>
      <c r="P1055" s="253"/>
      <c r="Q1055" s="253"/>
      <c r="R1055" s="253"/>
      <c r="S1055" s="253"/>
      <c r="EH1055" s="348"/>
      <c r="HF1055" s="349"/>
      <c r="HG1055" s="350"/>
      <c r="IU1055" s="349">
        <v>41.73</v>
      </c>
      <c r="IV1055" s="351">
        <f>41.73*1.045</f>
        <v>43.61</v>
      </c>
    </row>
    <row r="1056" spans="1:256" s="347" customFormat="1" ht="15.75" hidden="1" x14ac:dyDescent="0.2">
      <c r="A1056" s="405" t="s">
        <v>1376</v>
      </c>
      <c r="B1056" s="381" t="s">
        <v>1359</v>
      </c>
      <c r="C1056" s="379" t="s">
        <v>116</v>
      </c>
      <c r="D1056" s="263">
        <f>84.74*1.04</f>
        <v>88.13</v>
      </c>
      <c r="E1056" s="96">
        <f>D1056*20%</f>
        <v>17.63</v>
      </c>
      <c r="F1056" s="154">
        <f>D1056+E1056</f>
        <v>105.76</v>
      </c>
      <c r="G1056" s="226"/>
      <c r="H1056" s="253"/>
      <c r="I1056" s="253"/>
      <c r="J1056" s="253"/>
      <c r="K1056" s="253"/>
      <c r="L1056" s="253"/>
      <c r="M1056" s="253"/>
      <c r="N1056" s="253"/>
      <c r="O1056" s="253"/>
      <c r="P1056" s="253"/>
      <c r="Q1056" s="253"/>
      <c r="R1056" s="253"/>
      <c r="S1056" s="253"/>
      <c r="EH1056" s="348"/>
      <c r="HF1056" s="349"/>
      <c r="HG1056" s="350"/>
      <c r="IU1056" s="349">
        <v>77.97</v>
      </c>
      <c r="IV1056" s="351">
        <f>77.97*1.045</f>
        <v>81.48</v>
      </c>
    </row>
    <row r="1057" spans="1:256" s="347" customFormat="1" ht="15.75" hidden="1" x14ac:dyDescent="0.2">
      <c r="A1057" s="405" t="s">
        <v>1377</v>
      </c>
      <c r="B1057" s="381" t="s">
        <v>1361</v>
      </c>
      <c r="C1057" s="379" t="s">
        <v>116</v>
      </c>
      <c r="D1057" s="263">
        <f>125.31*1.04</f>
        <v>130.32</v>
      </c>
      <c r="E1057" s="96">
        <f>D1057*20%</f>
        <v>26.06</v>
      </c>
      <c r="F1057" s="154">
        <f>D1057+E1057</f>
        <v>156.38</v>
      </c>
      <c r="G1057" s="226"/>
      <c r="H1057" s="253"/>
      <c r="I1057" s="253"/>
      <c r="J1057" s="253"/>
      <c r="K1057" s="253"/>
      <c r="L1057" s="253"/>
      <c r="M1057" s="253"/>
      <c r="N1057" s="253"/>
      <c r="O1057" s="253"/>
      <c r="P1057" s="253"/>
      <c r="Q1057" s="253"/>
      <c r="R1057" s="253"/>
      <c r="S1057" s="253"/>
      <c r="EH1057" s="348"/>
      <c r="HF1057" s="349"/>
      <c r="HG1057" s="350"/>
      <c r="IU1057" s="349">
        <v>115.3</v>
      </c>
      <c r="IV1057" s="351">
        <f>115.3*1.045</f>
        <v>120.49</v>
      </c>
    </row>
    <row r="1058" spans="1:256" s="347" customFormat="1" ht="17.25" hidden="1" customHeight="1" x14ac:dyDescent="0.2">
      <c r="A1058" s="405" t="s">
        <v>1378</v>
      </c>
      <c r="B1058" s="430" t="s">
        <v>1379</v>
      </c>
      <c r="C1058" s="430"/>
      <c r="D1058" s="430"/>
      <c r="E1058" s="430"/>
      <c r="F1058" s="430"/>
      <c r="G1058" s="226"/>
      <c r="H1058" s="253"/>
      <c r="I1058" s="253"/>
      <c r="J1058" s="253"/>
      <c r="K1058" s="253"/>
      <c r="L1058" s="253"/>
      <c r="M1058" s="253"/>
      <c r="N1058" s="253"/>
      <c r="O1058" s="253"/>
      <c r="P1058" s="253"/>
      <c r="Q1058" s="253"/>
      <c r="R1058" s="253"/>
      <c r="S1058" s="253"/>
      <c r="EH1058" s="348"/>
      <c r="HG1058" s="350"/>
    </row>
    <row r="1059" spans="1:256" s="347" customFormat="1" ht="15.75" hidden="1" x14ac:dyDescent="0.2">
      <c r="A1059" s="405" t="s">
        <v>1380</v>
      </c>
      <c r="B1059" s="381" t="s">
        <v>1357</v>
      </c>
      <c r="C1059" s="379" t="s">
        <v>116</v>
      </c>
      <c r="D1059" s="263">
        <f>87.12*1.04</f>
        <v>90.6</v>
      </c>
      <c r="E1059" s="96">
        <f t="shared" ref="E1059:E1067" si="56">D1059*20%</f>
        <v>18.12</v>
      </c>
      <c r="F1059" s="154">
        <f t="shared" ref="F1059:F1064" si="57">D1059+E1059</f>
        <v>108.72</v>
      </c>
      <c r="G1059" s="226"/>
      <c r="H1059" s="253"/>
      <c r="I1059" s="253"/>
      <c r="J1059" s="253"/>
      <c r="K1059" s="253"/>
      <c r="L1059" s="253"/>
      <c r="M1059" s="253"/>
      <c r="N1059" s="253"/>
      <c r="O1059" s="253"/>
      <c r="P1059" s="253"/>
      <c r="Q1059" s="253"/>
      <c r="R1059" s="253"/>
      <c r="S1059" s="253"/>
      <c r="EH1059" s="348"/>
      <c r="HF1059" s="349"/>
      <c r="HG1059" s="350"/>
      <c r="IU1059" s="349">
        <v>80.16</v>
      </c>
      <c r="IV1059" s="351">
        <f>80.16*1.045</f>
        <v>83.77</v>
      </c>
    </row>
    <row r="1060" spans="1:256" s="347" customFormat="1" ht="15.75" hidden="1" x14ac:dyDescent="0.2">
      <c r="A1060" s="405" t="s">
        <v>1381</v>
      </c>
      <c r="B1060" s="381" t="s">
        <v>1359</v>
      </c>
      <c r="C1060" s="379" t="s">
        <v>116</v>
      </c>
      <c r="D1060" s="263">
        <f>165.89*1.04</f>
        <v>172.53</v>
      </c>
      <c r="E1060" s="96">
        <f t="shared" si="56"/>
        <v>34.51</v>
      </c>
      <c r="F1060" s="154">
        <f>D1060+E1060</f>
        <v>207.04</v>
      </c>
      <c r="G1060" s="226"/>
      <c r="H1060" s="253"/>
      <c r="I1060" s="253"/>
      <c r="J1060" s="253"/>
      <c r="K1060" s="253"/>
      <c r="L1060" s="253"/>
      <c r="M1060" s="253"/>
      <c r="N1060" s="253"/>
      <c r="O1060" s="253"/>
      <c r="P1060" s="253"/>
      <c r="Q1060" s="253"/>
      <c r="R1060" s="253"/>
      <c r="S1060" s="253"/>
      <c r="EH1060" s="348"/>
      <c r="HF1060" s="349"/>
      <c r="HG1060" s="350"/>
      <c r="IU1060" s="349">
        <v>152.63999999999999</v>
      </c>
      <c r="IV1060" s="351">
        <f>152.64*1.045</f>
        <v>159.51</v>
      </c>
    </row>
    <row r="1061" spans="1:256" s="347" customFormat="1" ht="15.75" hidden="1" x14ac:dyDescent="0.2">
      <c r="A1061" s="405" t="s">
        <v>1382</v>
      </c>
      <c r="B1061" s="381" t="s">
        <v>1361</v>
      </c>
      <c r="C1061" s="379" t="s">
        <v>116</v>
      </c>
      <c r="D1061" s="263">
        <f>244.66*1.04</f>
        <v>254.45</v>
      </c>
      <c r="E1061" s="96">
        <f t="shared" si="56"/>
        <v>50.89</v>
      </c>
      <c r="F1061" s="154">
        <f t="shared" si="57"/>
        <v>305.33999999999997</v>
      </c>
      <c r="G1061" s="226"/>
      <c r="H1061" s="253"/>
      <c r="I1061" s="253"/>
      <c r="J1061" s="253"/>
      <c r="K1061" s="253"/>
      <c r="L1061" s="253"/>
      <c r="M1061" s="253"/>
      <c r="N1061" s="253"/>
      <c r="O1061" s="253"/>
      <c r="P1061" s="253"/>
      <c r="Q1061" s="253"/>
      <c r="R1061" s="253"/>
      <c r="S1061" s="253"/>
      <c r="EH1061" s="348"/>
      <c r="HF1061" s="349"/>
      <c r="HG1061" s="350"/>
      <c r="IU1061" s="349">
        <v>225.12</v>
      </c>
      <c r="IV1061" s="351">
        <f>225.12*1.045</f>
        <v>235.25</v>
      </c>
    </row>
    <row r="1062" spans="1:256" s="347" customFormat="1" ht="42" hidden="1" customHeight="1" x14ac:dyDescent="0.2">
      <c r="A1062" s="405" t="s">
        <v>1383</v>
      </c>
      <c r="B1062" s="174" t="s">
        <v>1384</v>
      </c>
      <c r="C1062" s="379" t="s">
        <v>1385</v>
      </c>
      <c r="D1062" s="263">
        <f>31.04*1.04</f>
        <v>32.28</v>
      </c>
      <c r="E1062" s="96">
        <f t="shared" si="56"/>
        <v>6.46</v>
      </c>
      <c r="F1062" s="154">
        <f t="shared" si="57"/>
        <v>38.74</v>
      </c>
      <c r="G1062" s="226"/>
      <c r="H1062" s="253"/>
      <c r="I1062" s="253"/>
      <c r="J1062" s="253"/>
      <c r="K1062" s="253"/>
      <c r="L1062" s="253"/>
      <c r="M1062" s="253"/>
      <c r="N1062" s="253"/>
      <c r="O1062" s="253"/>
      <c r="P1062" s="253"/>
      <c r="Q1062" s="253"/>
      <c r="R1062" s="253"/>
      <c r="S1062" s="253"/>
      <c r="EH1062" s="348"/>
      <c r="HF1062" s="349"/>
      <c r="HG1062" s="350"/>
      <c r="IU1062" s="349">
        <v>28.56</v>
      </c>
      <c r="IV1062" s="351">
        <f>28.56*1.045</f>
        <v>29.85</v>
      </c>
    </row>
    <row r="1063" spans="1:256" s="347" customFormat="1" ht="42.75" hidden="1" customHeight="1" x14ac:dyDescent="0.2">
      <c r="A1063" s="405" t="s">
        <v>1386</v>
      </c>
      <c r="B1063" s="174" t="s">
        <v>1387</v>
      </c>
      <c r="C1063" s="379" t="s">
        <v>1385</v>
      </c>
      <c r="D1063" s="263">
        <f>47.99*1.04</f>
        <v>49.91</v>
      </c>
      <c r="E1063" s="96">
        <f t="shared" si="56"/>
        <v>9.98</v>
      </c>
      <c r="F1063" s="154">
        <f t="shared" si="57"/>
        <v>59.89</v>
      </c>
      <c r="G1063" s="226"/>
      <c r="H1063" s="253"/>
      <c r="I1063" s="253"/>
      <c r="J1063" s="253"/>
      <c r="K1063" s="253"/>
      <c r="L1063" s="253"/>
      <c r="M1063" s="253"/>
      <c r="N1063" s="253"/>
      <c r="O1063" s="253"/>
      <c r="P1063" s="253"/>
      <c r="Q1063" s="253"/>
      <c r="R1063" s="253"/>
      <c r="S1063" s="253"/>
      <c r="EH1063" s="348"/>
      <c r="HF1063" s="349"/>
      <c r="HG1063" s="350"/>
      <c r="IU1063" s="349">
        <v>44.15</v>
      </c>
      <c r="IV1063" s="351">
        <f>44.15*1.045</f>
        <v>46.14</v>
      </c>
    </row>
    <row r="1064" spans="1:256" s="347" customFormat="1" ht="33.75" hidden="1" customHeight="1" x14ac:dyDescent="0.2">
      <c r="A1064" s="405" t="s">
        <v>1388</v>
      </c>
      <c r="B1064" s="174" t="s">
        <v>1389</v>
      </c>
      <c r="C1064" s="379" t="s">
        <v>1385</v>
      </c>
      <c r="D1064" s="263">
        <f>149.19*1.04</f>
        <v>155.16</v>
      </c>
      <c r="E1064" s="96">
        <f t="shared" si="56"/>
        <v>31.03</v>
      </c>
      <c r="F1064" s="154">
        <f t="shared" si="57"/>
        <v>186.19</v>
      </c>
      <c r="G1064" s="226"/>
      <c r="H1064" s="253"/>
      <c r="I1064" s="253"/>
      <c r="J1064" s="253"/>
      <c r="K1064" s="253"/>
      <c r="L1064" s="253"/>
      <c r="M1064" s="253"/>
      <c r="N1064" s="253"/>
      <c r="O1064" s="253"/>
      <c r="P1064" s="253"/>
      <c r="Q1064" s="253"/>
      <c r="R1064" s="253"/>
      <c r="S1064" s="253"/>
      <c r="EH1064" s="348"/>
      <c r="HF1064" s="349"/>
      <c r="HG1064" s="350"/>
      <c r="IU1064" s="349">
        <v>137.27000000000001</v>
      </c>
      <c r="IV1064" s="351">
        <f>137.27*1.045</f>
        <v>143.44999999999999</v>
      </c>
    </row>
    <row r="1065" spans="1:256" s="347" customFormat="1" ht="47.25" hidden="1" customHeight="1" x14ac:dyDescent="0.2">
      <c r="A1065" s="405" t="s">
        <v>1390</v>
      </c>
      <c r="B1065" s="174" t="s">
        <v>1391</v>
      </c>
      <c r="C1065" s="379" t="s">
        <v>1385</v>
      </c>
      <c r="D1065" s="263">
        <f>43.68*1.04</f>
        <v>45.43</v>
      </c>
      <c r="E1065" s="96">
        <f t="shared" si="56"/>
        <v>9.09</v>
      </c>
      <c r="F1065" s="154">
        <f>D1065+E1065</f>
        <v>54.52</v>
      </c>
      <c r="G1065" s="226"/>
      <c r="H1065" s="253"/>
      <c r="I1065" s="253"/>
      <c r="J1065" s="253"/>
      <c r="K1065" s="253"/>
      <c r="L1065" s="253"/>
      <c r="M1065" s="253"/>
      <c r="N1065" s="253"/>
      <c r="O1065" s="253"/>
      <c r="P1065" s="253"/>
      <c r="Q1065" s="253"/>
      <c r="R1065" s="253"/>
      <c r="S1065" s="253"/>
      <c r="EH1065" s="348"/>
      <c r="HF1065" s="349"/>
      <c r="HG1065" s="350"/>
      <c r="IU1065" s="349">
        <v>40.19</v>
      </c>
      <c r="IV1065" s="351">
        <f>40.19*1.045</f>
        <v>42</v>
      </c>
    </row>
    <row r="1066" spans="1:256" s="347" customFormat="1" ht="50.25" hidden="1" customHeight="1" x14ac:dyDescent="0.2">
      <c r="A1066" s="405" t="s">
        <v>1392</v>
      </c>
      <c r="B1066" s="174" t="s">
        <v>1393</v>
      </c>
      <c r="C1066" s="379" t="s">
        <v>1385</v>
      </c>
      <c r="D1066" s="263">
        <f>43.68*1.04</f>
        <v>45.43</v>
      </c>
      <c r="E1066" s="96">
        <f t="shared" si="56"/>
        <v>9.09</v>
      </c>
      <c r="F1066" s="154">
        <f>D1066+E1066</f>
        <v>54.52</v>
      </c>
      <c r="G1066" s="226"/>
      <c r="H1066" s="253"/>
      <c r="I1066" s="253"/>
      <c r="J1066" s="253"/>
      <c r="K1066" s="253"/>
      <c r="L1066" s="253"/>
      <c r="M1066" s="253"/>
      <c r="N1066" s="253"/>
      <c r="O1066" s="253"/>
      <c r="P1066" s="253"/>
      <c r="Q1066" s="253"/>
      <c r="R1066" s="253"/>
      <c r="S1066" s="253"/>
      <c r="EH1066" s="348"/>
      <c r="HF1066" s="349"/>
      <c r="HG1066" s="350"/>
      <c r="IU1066" s="349">
        <v>40.19</v>
      </c>
      <c r="IV1066" s="351">
        <f>40.19*1.045</f>
        <v>42</v>
      </c>
    </row>
    <row r="1067" spans="1:256" s="347" customFormat="1" ht="15.75" hidden="1" x14ac:dyDescent="0.2">
      <c r="A1067" s="405" t="s">
        <v>1394</v>
      </c>
      <c r="B1067" s="175" t="s">
        <v>1395</v>
      </c>
      <c r="C1067" s="379" t="s">
        <v>1385</v>
      </c>
      <c r="D1067" s="263">
        <f>44.65*1.04</f>
        <v>46.44</v>
      </c>
      <c r="E1067" s="96">
        <f t="shared" si="56"/>
        <v>9.2899999999999991</v>
      </c>
      <c r="F1067" s="154">
        <f>D1067+E1067</f>
        <v>55.73</v>
      </c>
      <c r="G1067" s="226"/>
      <c r="H1067" s="253"/>
      <c r="I1067" s="253"/>
      <c r="J1067" s="253"/>
      <c r="K1067" s="253"/>
      <c r="L1067" s="253"/>
      <c r="M1067" s="253"/>
      <c r="N1067" s="253"/>
      <c r="O1067" s="253"/>
      <c r="P1067" s="253"/>
      <c r="Q1067" s="253"/>
      <c r="R1067" s="253"/>
      <c r="S1067" s="253"/>
      <c r="EH1067" s="348"/>
      <c r="HF1067" s="349"/>
      <c r="HG1067" s="350"/>
      <c r="IU1067" s="349">
        <v>41.08</v>
      </c>
      <c r="IV1067" s="351">
        <f>41.08*1.045</f>
        <v>42.93</v>
      </c>
    </row>
    <row r="1068" spans="1:256" s="347" customFormat="1" ht="15.75" hidden="1" customHeight="1" x14ac:dyDescent="0.2">
      <c r="A1068" s="405" t="s">
        <v>1396</v>
      </c>
      <c r="B1068" s="430" t="s">
        <v>1397</v>
      </c>
      <c r="C1068" s="430"/>
      <c r="D1068" s="430"/>
      <c r="E1068" s="430"/>
      <c r="F1068" s="430"/>
      <c r="G1068" s="226"/>
      <c r="H1068" s="253"/>
      <c r="I1068" s="253"/>
      <c r="J1068" s="253"/>
      <c r="K1068" s="253"/>
      <c r="L1068" s="253"/>
      <c r="M1068" s="253"/>
      <c r="N1068" s="253"/>
      <c r="O1068" s="253"/>
      <c r="P1068" s="253"/>
      <c r="Q1068" s="253"/>
      <c r="R1068" s="253"/>
      <c r="S1068" s="253"/>
      <c r="EH1068" s="348"/>
      <c r="HG1068" s="350"/>
    </row>
    <row r="1069" spans="1:256" s="347" customFormat="1" ht="17.25" hidden="1" customHeight="1" x14ac:dyDescent="0.2">
      <c r="A1069" s="405" t="s">
        <v>1398</v>
      </c>
      <c r="B1069" s="381" t="s">
        <v>1399</v>
      </c>
      <c r="C1069" s="379" t="s">
        <v>116</v>
      </c>
      <c r="D1069" s="263">
        <f>125.31*1.04</f>
        <v>130.32</v>
      </c>
      <c r="E1069" s="96">
        <f>D1069*20%</f>
        <v>26.06</v>
      </c>
      <c r="F1069" s="154">
        <f>D1069+E1069</f>
        <v>156.38</v>
      </c>
      <c r="G1069" s="226"/>
      <c r="H1069" s="253"/>
      <c r="I1069" s="253"/>
      <c r="J1069" s="253"/>
      <c r="K1069" s="253"/>
      <c r="L1069" s="253"/>
      <c r="M1069" s="253"/>
      <c r="N1069" s="253"/>
      <c r="O1069" s="253"/>
      <c r="P1069" s="253"/>
      <c r="Q1069" s="253"/>
      <c r="R1069" s="253"/>
      <c r="S1069" s="253"/>
      <c r="EH1069" s="348"/>
      <c r="HF1069" s="349"/>
      <c r="HG1069" s="350"/>
      <c r="IU1069" s="349">
        <v>115.3</v>
      </c>
      <c r="IV1069" s="351">
        <f>115.3*1.045</f>
        <v>120.49</v>
      </c>
    </row>
    <row r="1070" spans="1:256" s="347" customFormat="1" ht="47.25" hidden="1" x14ac:dyDescent="0.2">
      <c r="A1070" s="405" t="s">
        <v>1400</v>
      </c>
      <c r="B1070" s="381" t="s">
        <v>1401</v>
      </c>
      <c r="C1070" s="379" t="s">
        <v>1402</v>
      </c>
      <c r="D1070" s="263">
        <f>62.54*1.04</f>
        <v>65.040000000000006</v>
      </c>
      <c r="E1070" s="96">
        <f>D1070*20%</f>
        <v>13.01</v>
      </c>
      <c r="F1070" s="154">
        <f>D1070+E1070</f>
        <v>78.05</v>
      </c>
      <c r="G1070" s="226"/>
      <c r="H1070" s="253"/>
      <c r="I1070" s="253"/>
      <c r="J1070" s="253"/>
      <c r="K1070" s="253"/>
      <c r="L1070" s="253"/>
      <c r="M1070" s="253"/>
      <c r="N1070" s="253"/>
      <c r="O1070" s="253"/>
      <c r="P1070" s="253"/>
      <c r="Q1070" s="253"/>
      <c r="R1070" s="253"/>
      <c r="S1070" s="253"/>
      <c r="EH1070" s="348"/>
      <c r="HF1070" s="349"/>
      <c r="HG1070" s="350"/>
      <c r="IU1070" s="349">
        <v>57.54</v>
      </c>
      <c r="IV1070" s="351">
        <f>57.54*1.045</f>
        <v>60.13</v>
      </c>
    </row>
    <row r="1071" spans="1:256" s="347" customFormat="1" ht="15.75" hidden="1" customHeight="1" x14ac:dyDescent="0.2">
      <c r="A1071" s="405" t="s">
        <v>1403</v>
      </c>
      <c r="B1071" s="430" t="s">
        <v>1404</v>
      </c>
      <c r="C1071" s="430"/>
      <c r="D1071" s="430"/>
      <c r="E1071" s="430"/>
      <c r="F1071" s="430"/>
      <c r="G1071" s="226"/>
      <c r="H1071" s="253"/>
      <c r="I1071" s="253"/>
      <c r="J1071" s="253"/>
      <c r="K1071" s="253"/>
      <c r="L1071" s="253"/>
      <c r="M1071" s="253"/>
      <c r="N1071" s="253"/>
      <c r="O1071" s="253"/>
      <c r="P1071" s="253"/>
      <c r="Q1071" s="253"/>
      <c r="R1071" s="253"/>
      <c r="S1071" s="253"/>
      <c r="EH1071" s="348"/>
      <c r="HG1071" s="350"/>
    </row>
    <row r="1072" spans="1:256" s="347" customFormat="1" ht="22.5" hidden="1" customHeight="1" x14ac:dyDescent="0.2">
      <c r="A1072" s="405" t="s">
        <v>1405</v>
      </c>
      <c r="B1072" s="381" t="s">
        <v>1399</v>
      </c>
      <c r="C1072" s="379" t="s">
        <v>1406</v>
      </c>
      <c r="D1072" s="263">
        <f>0.38*1.04</f>
        <v>0.4</v>
      </c>
      <c r="E1072" s="96">
        <f>D1072*20%</f>
        <v>0.08</v>
      </c>
      <c r="F1072" s="154">
        <f>D1072+E1072</f>
        <v>0.48</v>
      </c>
      <c r="G1072" s="226"/>
      <c r="H1072" s="253"/>
      <c r="I1072" s="253"/>
      <c r="J1072" s="253"/>
      <c r="K1072" s="253"/>
      <c r="L1072" s="253"/>
      <c r="M1072" s="253"/>
      <c r="N1072" s="253"/>
      <c r="O1072" s="253"/>
      <c r="P1072" s="253"/>
      <c r="Q1072" s="253"/>
      <c r="R1072" s="253"/>
      <c r="S1072" s="253"/>
      <c r="EH1072" s="348"/>
      <c r="HF1072" s="349"/>
      <c r="HG1072" s="350"/>
      <c r="IU1072" s="349">
        <v>0.35</v>
      </c>
      <c r="IV1072" s="351">
        <f>0.35*1.045</f>
        <v>0.37</v>
      </c>
    </row>
    <row r="1073" spans="1:256" s="347" customFormat="1" ht="15.75" hidden="1" x14ac:dyDescent="0.2">
      <c r="A1073" s="405" t="s">
        <v>1407</v>
      </c>
      <c r="B1073" s="381" t="s">
        <v>1401</v>
      </c>
      <c r="C1073" s="379" t="s">
        <v>1408</v>
      </c>
      <c r="D1073" s="263">
        <f>0.25*1.04</f>
        <v>0.26</v>
      </c>
      <c r="E1073" s="96">
        <f>D1073*20%</f>
        <v>0.05</v>
      </c>
      <c r="F1073" s="154">
        <f>D1073+E1073</f>
        <v>0.31</v>
      </c>
      <c r="G1073" s="226"/>
      <c r="H1073" s="253"/>
      <c r="I1073" s="253"/>
      <c r="J1073" s="253"/>
      <c r="K1073" s="253"/>
      <c r="L1073" s="253"/>
      <c r="M1073" s="253"/>
      <c r="N1073" s="253"/>
      <c r="O1073" s="253"/>
      <c r="P1073" s="253"/>
      <c r="Q1073" s="253"/>
      <c r="R1073" s="253"/>
      <c r="S1073" s="253"/>
      <c r="EH1073" s="348"/>
      <c r="HF1073" s="349"/>
      <c r="HG1073" s="350"/>
      <c r="IU1073" s="349">
        <v>0.23</v>
      </c>
      <c r="IV1073" s="351">
        <f>0.23*1.045</f>
        <v>0.24</v>
      </c>
    </row>
    <row r="1074" spans="1:256" s="347" customFormat="1" ht="36" hidden="1" customHeight="1" x14ac:dyDescent="0.2">
      <c r="A1074" s="405" t="s">
        <v>1409</v>
      </c>
      <c r="B1074" s="430" t="s">
        <v>1410</v>
      </c>
      <c r="C1074" s="430"/>
      <c r="D1074" s="430"/>
      <c r="E1074" s="430"/>
      <c r="F1074" s="430"/>
      <c r="G1074" s="226"/>
      <c r="H1074" s="253"/>
      <c r="I1074" s="253"/>
      <c r="J1074" s="253"/>
      <c r="K1074" s="253"/>
      <c r="L1074" s="253"/>
      <c r="M1074" s="253"/>
      <c r="N1074" s="253"/>
      <c r="O1074" s="253"/>
      <c r="P1074" s="253"/>
      <c r="Q1074" s="253"/>
      <c r="R1074" s="253"/>
      <c r="S1074" s="253"/>
      <c r="EH1074" s="348"/>
      <c r="HG1074" s="350"/>
    </row>
    <row r="1075" spans="1:256" s="347" customFormat="1" ht="21.75" hidden="1" customHeight="1" x14ac:dyDescent="0.2">
      <c r="A1075" s="405" t="s">
        <v>1411</v>
      </c>
      <c r="B1075" s="381" t="s">
        <v>1399</v>
      </c>
      <c r="C1075" s="379" t="s">
        <v>1412</v>
      </c>
      <c r="D1075" s="263">
        <f>375.94*1.04</f>
        <v>390.98</v>
      </c>
      <c r="E1075" s="96">
        <f>D1075*20%</f>
        <v>78.2</v>
      </c>
      <c r="F1075" s="154">
        <f>D1075+E1075</f>
        <v>469.18</v>
      </c>
      <c r="G1075" s="226"/>
      <c r="H1075" s="253"/>
      <c r="I1075" s="253"/>
      <c r="J1075" s="253"/>
      <c r="K1075" s="253"/>
      <c r="L1075" s="253"/>
      <c r="M1075" s="253"/>
      <c r="N1075" s="253"/>
      <c r="O1075" s="253"/>
      <c r="P1075" s="253"/>
      <c r="Q1075" s="253"/>
      <c r="R1075" s="253"/>
      <c r="S1075" s="253"/>
      <c r="EH1075" s="348"/>
      <c r="HF1075" s="349"/>
      <c r="HG1075" s="350"/>
      <c r="IU1075" s="349">
        <v>345.91</v>
      </c>
      <c r="IV1075" s="351">
        <f>345.91*1.045</f>
        <v>361.48</v>
      </c>
    </row>
    <row r="1076" spans="1:256" s="347" customFormat="1" ht="23.25" hidden="1" customHeight="1" x14ac:dyDescent="0.2">
      <c r="A1076" s="405" t="s">
        <v>1413</v>
      </c>
      <c r="B1076" s="381" t="s">
        <v>1401</v>
      </c>
      <c r="C1076" s="379" t="s">
        <v>1414</v>
      </c>
      <c r="D1076" s="263">
        <f>310.03*1.04</f>
        <v>322.43</v>
      </c>
      <c r="E1076" s="96">
        <f>D1076*20%</f>
        <v>64.489999999999995</v>
      </c>
      <c r="F1076" s="154">
        <f>D1076+E1076</f>
        <v>386.92</v>
      </c>
      <c r="G1076" s="226"/>
      <c r="H1076" s="253"/>
      <c r="I1076" s="253"/>
      <c r="J1076" s="253"/>
      <c r="K1076" s="253"/>
      <c r="L1076" s="253"/>
      <c r="M1076" s="253"/>
      <c r="N1076" s="253"/>
      <c r="O1076" s="253"/>
      <c r="P1076" s="253"/>
      <c r="Q1076" s="253"/>
      <c r="R1076" s="253"/>
      <c r="S1076" s="253"/>
      <c r="EH1076" s="348"/>
      <c r="HF1076" s="349"/>
      <c r="HG1076" s="350"/>
      <c r="IU1076" s="349">
        <v>285.27</v>
      </c>
      <c r="IV1076" s="351">
        <f>285.27*1.045</f>
        <v>298.11</v>
      </c>
    </row>
    <row r="1077" spans="1:256" s="347" customFormat="1" ht="51" hidden="1" customHeight="1" x14ac:dyDescent="0.2">
      <c r="A1077" s="405" t="s">
        <v>1415</v>
      </c>
      <c r="B1077" s="403" t="s">
        <v>1416</v>
      </c>
      <c r="C1077" s="379" t="s">
        <v>202</v>
      </c>
      <c r="D1077" s="263">
        <f>1.61*1.04</f>
        <v>1.67</v>
      </c>
      <c r="E1077" s="96">
        <f>D1077*20%</f>
        <v>0.33</v>
      </c>
      <c r="F1077" s="154">
        <f>D1077+E1077</f>
        <v>2</v>
      </c>
      <c r="G1077" s="226"/>
      <c r="H1077" s="253"/>
      <c r="I1077" s="253"/>
      <c r="J1077" s="253"/>
      <c r="K1077" s="253"/>
      <c r="L1077" s="253"/>
      <c r="M1077" s="253"/>
      <c r="N1077" s="253"/>
      <c r="O1077" s="253"/>
      <c r="P1077" s="253"/>
      <c r="Q1077" s="253"/>
      <c r="R1077" s="253"/>
      <c r="S1077" s="253"/>
      <c r="EH1077" s="348"/>
      <c r="HF1077" s="349"/>
      <c r="HG1077" s="350"/>
      <c r="IU1077" s="349">
        <v>1.48</v>
      </c>
      <c r="IV1077" s="351">
        <f>1.48*1.045</f>
        <v>1.55</v>
      </c>
    </row>
    <row r="1078" spans="1:256" s="347" customFormat="1" ht="33.75" hidden="1" customHeight="1" x14ac:dyDescent="0.2">
      <c r="A1078" s="405" t="s">
        <v>1417</v>
      </c>
      <c r="B1078" s="430" t="s">
        <v>1418</v>
      </c>
      <c r="C1078" s="430"/>
      <c r="D1078" s="430"/>
      <c r="E1078" s="430"/>
      <c r="F1078" s="430"/>
      <c r="G1078" s="226"/>
      <c r="H1078" s="253"/>
      <c r="I1078" s="253"/>
      <c r="J1078" s="253"/>
      <c r="K1078" s="253"/>
      <c r="L1078" s="253"/>
      <c r="M1078" s="253"/>
      <c r="N1078" s="253"/>
      <c r="O1078" s="253"/>
      <c r="P1078" s="253"/>
      <c r="Q1078" s="253"/>
      <c r="R1078" s="253"/>
      <c r="S1078" s="253"/>
      <c r="EH1078" s="348"/>
      <c r="HG1078" s="350"/>
    </row>
    <row r="1079" spans="1:256" s="347" customFormat="1" ht="19.5" hidden="1" customHeight="1" x14ac:dyDescent="0.2">
      <c r="A1079" s="405" t="s">
        <v>1419</v>
      </c>
      <c r="B1079" s="381" t="s">
        <v>1399</v>
      </c>
      <c r="C1079" s="379" t="s">
        <v>116</v>
      </c>
      <c r="D1079" s="263">
        <f>92.38*1.04</f>
        <v>96.08</v>
      </c>
      <c r="E1079" s="96">
        <f>D1079*20%</f>
        <v>19.22</v>
      </c>
      <c r="F1079" s="154">
        <f>D1079+E1079</f>
        <v>115.3</v>
      </c>
      <c r="G1079" s="226"/>
      <c r="H1079" s="253"/>
      <c r="I1079" s="253"/>
      <c r="J1079" s="253"/>
      <c r="K1079" s="253"/>
      <c r="L1079" s="253"/>
      <c r="M1079" s="253"/>
      <c r="N1079" s="253"/>
      <c r="O1079" s="253"/>
      <c r="P1079" s="253"/>
      <c r="Q1079" s="253"/>
      <c r="R1079" s="253"/>
      <c r="S1079" s="253"/>
      <c r="EH1079" s="348"/>
      <c r="HF1079" s="349"/>
      <c r="HG1079" s="350"/>
      <c r="IU1079" s="349">
        <v>85</v>
      </c>
      <c r="IV1079" s="351">
        <f>85*1.045</f>
        <v>88.83</v>
      </c>
    </row>
    <row r="1080" spans="1:256" s="347" customFormat="1" ht="21.75" hidden="1" customHeight="1" x14ac:dyDescent="0.2">
      <c r="A1080" s="405" t="s">
        <v>1420</v>
      </c>
      <c r="B1080" s="381" t="s">
        <v>1401</v>
      </c>
      <c r="C1080" s="379" t="s">
        <v>116</v>
      </c>
      <c r="D1080" s="263">
        <f>182.61</f>
        <v>182.61</v>
      </c>
      <c r="E1080" s="96">
        <f>D1080*20%</f>
        <v>36.520000000000003</v>
      </c>
      <c r="F1080" s="154">
        <f>D1080+E1080</f>
        <v>219.13</v>
      </c>
      <c r="G1080" s="226"/>
      <c r="H1080" s="253"/>
      <c r="I1080" s="253"/>
      <c r="J1080" s="253"/>
      <c r="K1080" s="253"/>
      <c r="L1080" s="253"/>
      <c r="M1080" s="253"/>
      <c r="N1080" s="253"/>
      <c r="O1080" s="253"/>
      <c r="P1080" s="253"/>
      <c r="Q1080" s="253"/>
      <c r="R1080" s="253"/>
      <c r="S1080" s="253"/>
      <c r="EH1080" s="348"/>
      <c r="HF1080" s="349"/>
      <c r="HG1080" s="350"/>
      <c r="IU1080" s="349">
        <v>174.75</v>
      </c>
      <c r="IV1080" s="351">
        <f>174.75*1.045</f>
        <v>182.61</v>
      </c>
    </row>
    <row r="1081" spans="1:256" s="347" customFormat="1" ht="49.5" hidden="1" customHeight="1" x14ac:dyDescent="0.2">
      <c r="A1081" s="405" t="s">
        <v>525</v>
      </c>
      <c r="B1081" s="381" t="s">
        <v>1421</v>
      </c>
      <c r="C1081" s="379" t="s">
        <v>1422</v>
      </c>
      <c r="D1081" s="263">
        <f>955.39*1.04</f>
        <v>993.61</v>
      </c>
      <c r="E1081" s="96">
        <f>D1081*20%</f>
        <v>198.72</v>
      </c>
      <c r="F1081" s="154">
        <f>D1081+E1081</f>
        <v>1192.33</v>
      </c>
      <c r="G1081" s="226"/>
      <c r="H1081" s="253"/>
      <c r="I1081" s="253"/>
      <c r="J1081" s="253"/>
      <c r="K1081" s="253"/>
      <c r="L1081" s="253"/>
      <c r="M1081" s="253"/>
      <c r="N1081" s="253"/>
      <c r="O1081" s="253"/>
      <c r="P1081" s="253"/>
      <c r="Q1081" s="253"/>
      <c r="R1081" s="253"/>
      <c r="S1081" s="253"/>
      <c r="EH1081" s="348"/>
      <c r="HF1081" s="349"/>
      <c r="HG1081" s="350"/>
      <c r="IU1081" s="349">
        <v>879.08</v>
      </c>
      <c r="IV1081" s="351">
        <f>879.08*1.045</f>
        <v>918.64</v>
      </c>
    </row>
    <row r="1082" spans="1:256" s="347" customFormat="1" ht="63" hidden="1" customHeight="1" x14ac:dyDescent="0.2">
      <c r="A1082" s="177" t="s">
        <v>26</v>
      </c>
      <c r="B1082" s="437" t="s">
        <v>1423</v>
      </c>
      <c r="C1082" s="437"/>
      <c r="D1082" s="437"/>
      <c r="E1082" s="437"/>
      <c r="F1082" s="437"/>
      <c r="G1082" s="226"/>
      <c r="H1082" s="253"/>
      <c r="I1082" s="253"/>
      <c r="J1082" s="253"/>
      <c r="K1082" s="253"/>
      <c r="L1082" s="253"/>
      <c r="M1082" s="253"/>
      <c r="N1082" s="253"/>
      <c r="O1082" s="253"/>
      <c r="P1082" s="253"/>
      <c r="Q1082" s="253"/>
      <c r="R1082" s="253"/>
      <c r="S1082" s="253"/>
      <c r="EH1082" s="348"/>
      <c r="HG1082" s="350"/>
    </row>
    <row r="1083" spans="1:256" s="347" customFormat="1" ht="68.25" hidden="1" customHeight="1" x14ac:dyDescent="0.2">
      <c r="A1083" s="439" t="s">
        <v>563</v>
      </c>
      <c r="B1083" s="430" t="s">
        <v>1424</v>
      </c>
      <c r="C1083" s="430"/>
      <c r="D1083" s="430"/>
      <c r="E1083" s="430"/>
      <c r="F1083" s="430"/>
      <c r="G1083" s="226"/>
      <c r="H1083" s="253"/>
      <c r="I1083" s="253"/>
      <c r="J1083" s="253"/>
      <c r="K1083" s="253"/>
      <c r="L1083" s="253"/>
      <c r="M1083" s="253"/>
      <c r="N1083" s="253"/>
      <c r="O1083" s="253"/>
      <c r="P1083" s="253"/>
      <c r="Q1083" s="253"/>
      <c r="R1083" s="253"/>
      <c r="S1083" s="253"/>
      <c r="EH1083" s="348"/>
      <c r="HG1083" s="350"/>
    </row>
    <row r="1084" spans="1:256" s="347" customFormat="1" ht="36" hidden="1" customHeight="1" x14ac:dyDescent="0.2">
      <c r="A1084" s="439"/>
      <c r="B1084" s="430" t="s">
        <v>1425</v>
      </c>
      <c r="C1084" s="430"/>
      <c r="D1084" s="430"/>
      <c r="E1084" s="430"/>
      <c r="F1084" s="430"/>
      <c r="G1084" s="226"/>
      <c r="H1084" s="253"/>
      <c r="I1084" s="253"/>
      <c r="J1084" s="253"/>
      <c r="K1084" s="253"/>
      <c r="L1084" s="253"/>
      <c r="M1084" s="253"/>
      <c r="N1084" s="253"/>
      <c r="O1084" s="253"/>
      <c r="P1084" s="253"/>
      <c r="Q1084" s="253"/>
      <c r="R1084" s="253"/>
      <c r="S1084" s="253"/>
      <c r="EH1084" s="348"/>
      <c r="HG1084" s="350"/>
    </row>
    <row r="1085" spans="1:256" s="347" customFormat="1" ht="35.25" hidden="1" customHeight="1" x14ac:dyDescent="0.2">
      <c r="A1085" s="439"/>
      <c r="B1085" s="430" t="s">
        <v>1426</v>
      </c>
      <c r="C1085" s="430"/>
      <c r="D1085" s="430"/>
      <c r="E1085" s="430"/>
      <c r="F1085" s="430"/>
      <c r="G1085" s="226"/>
      <c r="H1085" s="253"/>
      <c r="I1085" s="253"/>
      <c r="J1085" s="253"/>
      <c r="K1085" s="253"/>
      <c r="L1085" s="253"/>
      <c r="M1085" s="253"/>
      <c r="N1085" s="253"/>
      <c r="O1085" s="253"/>
      <c r="P1085" s="253"/>
      <c r="Q1085" s="253"/>
      <c r="R1085" s="253"/>
      <c r="S1085" s="253"/>
      <c r="EH1085" s="348"/>
      <c r="HG1085" s="350"/>
    </row>
    <row r="1086" spans="1:256" s="347" customFormat="1" ht="24.75" hidden="1" customHeight="1" x14ac:dyDescent="0.2">
      <c r="A1086" s="439"/>
      <c r="B1086" s="430" t="s">
        <v>1427</v>
      </c>
      <c r="C1086" s="430"/>
      <c r="D1086" s="430"/>
      <c r="E1086" s="430"/>
      <c r="F1086" s="430"/>
      <c r="G1086" s="226"/>
      <c r="H1086" s="253"/>
      <c r="I1086" s="253"/>
      <c r="J1086" s="253"/>
      <c r="K1086" s="253"/>
      <c r="L1086" s="253"/>
      <c r="M1086" s="253"/>
      <c r="N1086" s="253"/>
      <c r="O1086" s="253"/>
      <c r="P1086" s="253"/>
      <c r="Q1086" s="253"/>
      <c r="R1086" s="253"/>
      <c r="S1086" s="253"/>
      <c r="EH1086" s="348"/>
      <c r="HG1086" s="350"/>
    </row>
    <row r="1087" spans="1:256" s="347" customFormat="1" ht="33" hidden="1" customHeight="1" x14ac:dyDescent="0.2">
      <c r="A1087" s="439"/>
      <c r="B1087" s="430" t="s">
        <v>1428</v>
      </c>
      <c r="C1087" s="430"/>
      <c r="D1087" s="430"/>
      <c r="E1087" s="430"/>
      <c r="F1087" s="430"/>
      <c r="G1087" s="226"/>
      <c r="H1087" s="253"/>
      <c r="I1087" s="253"/>
      <c r="J1087" s="253"/>
      <c r="K1087" s="253"/>
      <c r="L1087" s="253"/>
      <c r="M1087" s="253"/>
      <c r="N1087" s="253"/>
      <c r="O1087" s="253"/>
      <c r="P1087" s="253"/>
      <c r="Q1087" s="253"/>
      <c r="R1087" s="253"/>
      <c r="S1087" s="253"/>
      <c r="EH1087" s="348"/>
      <c r="HG1087" s="350"/>
    </row>
    <row r="1088" spans="1:256" s="347" customFormat="1" ht="39.75" hidden="1" customHeight="1" x14ac:dyDescent="0.2">
      <c r="A1088" s="439"/>
      <c r="B1088" s="430" t="s">
        <v>1429</v>
      </c>
      <c r="C1088" s="430"/>
      <c r="D1088" s="430"/>
      <c r="E1088" s="430"/>
      <c r="F1088" s="430"/>
      <c r="G1088" s="226"/>
      <c r="H1088" s="253"/>
      <c r="I1088" s="253"/>
      <c r="J1088" s="253"/>
      <c r="K1088" s="253"/>
      <c r="L1088" s="253"/>
      <c r="M1088" s="253"/>
      <c r="N1088" s="253"/>
      <c r="O1088" s="253"/>
      <c r="P1088" s="253"/>
      <c r="Q1088" s="253"/>
      <c r="R1088" s="253"/>
      <c r="S1088" s="253"/>
      <c r="EH1088" s="348"/>
      <c r="HG1088" s="350"/>
    </row>
    <row r="1089" spans="1:256" s="347" customFormat="1" ht="23.25" hidden="1" customHeight="1" x14ac:dyDescent="0.2">
      <c r="A1089" s="439"/>
      <c r="B1089" s="430" t="s">
        <v>1430</v>
      </c>
      <c r="C1089" s="430"/>
      <c r="D1089" s="430"/>
      <c r="E1089" s="430"/>
      <c r="F1089" s="430"/>
      <c r="G1089" s="226"/>
      <c r="H1089" s="253"/>
      <c r="I1089" s="253"/>
      <c r="J1089" s="253"/>
      <c r="K1089" s="253"/>
      <c r="L1089" s="253"/>
      <c r="M1089" s="253"/>
      <c r="N1089" s="253"/>
      <c r="O1089" s="253"/>
      <c r="P1089" s="253"/>
      <c r="Q1089" s="253"/>
      <c r="R1089" s="253"/>
      <c r="S1089" s="253"/>
      <c r="EH1089" s="348"/>
      <c r="HG1089" s="350"/>
    </row>
    <row r="1090" spans="1:256" s="347" customFormat="1" ht="38.25" hidden="1" customHeight="1" x14ac:dyDescent="0.2">
      <c r="A1090" s="439"/>
      <c r="B1090" s="430" t="s">
        <v>1431</v>
      </c>
      <c r="C1090" s="430"/>
      <c r="D1090" s="430"/>
      <c r="E1090" s="430"/>
      <c r="F1090" s="430"/>
      <c r="G1090" s="226"/>
      <c r="H1090" s="253"/>
      <c r="I1090" s="253"/>
      <c r="J1090" s="253"/>
      <c r="K1090" s="253"/>
      <c r="L1090" s="253"/>
      <c r="M1090" s="253"/>
      <c r="N1090" s="253"/>
      <c r="O1090" s="253"/>
      <c r="P1090" s="253"/>
      <c r="Q1090" s="253"/>
      <c r="R1090" s="253"/>
      <c r="S1090" s="253"/>
      <c r="EH1090" s="348"/>
      <c r="HG1090" s="350"/>
    </row>
    <row r="1091" spans="1:256" s="347" customFormat="1" ht="23.25" hidden="1" customHeight="1" x14ac:dyDescent="0.2">
      <c r="A1091" s="439"/>
      <c r="B1091" s="430" t="s">
        <v>1432</v>
      </c>
      <c r="C1091" s="430"/>
      <c r="D1091" s="430"/>
      <c r="E1091" s="430"/>
      <c r="F1091" s="430"/>
      <c r="G1091" s="226"/>
      <c r="H1091" s="253"/>
      <c r="I1091" s="253"/>
      <c r="J1091" s="253"/>
      <c r="K1091" s="253"/>
      <c r="L1091" s="253"/>
      <c r="M1091" s="253"/>
      <c r="N1091" s="253"/>
      <c r="O1091" s="253"/>
      <c r="P1091" s="253"/>
      <c r="Q1091" s="253"/>
      <c r="R1091" s="253"/>
      <c r="S1091" s="253"/>
      <c r="EH1091" s="348"/>
      <c r="HG1091" s="350"/>
    </row>
    <row r="1092" spans="1:256" s="347" customFormat="1" ht="33.75" hidden="1" customHeight="1" x14ac:dyDescent="0.2">
      <c r="A1092" s="439"/>
      <c r="B1092" s="430" t="s">
        <v>1433</v>
      </c>
      <c r="C1092" s="430"/>
      <c r="D1092" s="430"/>
      <c r="E1092" s="430"/>
      <c r="F1092" s="430"/>
      <c r="G1092" s="226"/>
      <c r="H1092" s="253"/>
      <c r="I1092" s="253"/>
      <c r="J1092" s="253"/>
      <c r="K1092" s="253"/>
      <c r="L1092" s="253"/>
      <c r="M1092" s="253"/>
      <c r="N1092" s="253"/>
      <c r="O1092" s="253"/>
      <c r="P1092" s="253"/>
      <c r="Q1092" s="253"/>
      <c r="R1092" s="253"/>
      <c r="S1092" s="253"/>
      <c r="EH1092" s="348"/>
      <c r="HG1092" s="350"/>
    </row>
    <row r="1093" spans="1:256" s="347" customFormat="1" ht="23.25" hidden="1" customHeight="1" x14ac:dyDescent="0.2">
      <c r="A1093" s="439"/>
      <c r="B1093" s="430" t="s">
        <v>1434</v>
      </c>
      <c r="C1093" s="430"/>
      <c r="D1093" s="430"/>
      <c r="E1093" s="430"/>
      <c r="F1093" s="430"/>
      <c r="G1093" s="226"/>
      <c r="H1093" s="253"/>
      <c r="I1093" s="253"/>
      <c r="J1093" s="253"/>
      <c r="K1093" s="253"/>
      <c r="L1093" s="253"/>
      <c r="M1093" s="253"/>
      <c r="N1093" s="253"/>
      <c r="O1093" s="253"/>
      <c r="P1093" s="253"/>
      <c r="Q1093" s="253"/>
      <c r="R1093" s="253"/>
      <c r="S1093" s="253"/>
      <c r="EH1093" s="348"/>
      <c r="HG1093" s="350"/>
    </row>
    <row r="1094" spans="1:256" s="347" customFormat="1" ht="15.75" hidden="1" x14ac:dyDescent="0.2">
      <c r="A1094" s="405" t="s">
        <v>1435</v>
      </c>
      <c r="B1094" s="381" t="s">
        <v>1436</v>
      </c>
      <c r="C1094" s="379" t="s">
        <v>116</v>
      </c>
      <c r="D1094" s="263">
        <f>41.05*1.04</f>
        <v>42.69</v>
      </c>
      <c r="E1094" s="96">
        <f>D1094*20%</f>
        <v>8.5399999999999991</v>
      </c>
      <c r="F1094" s="154">
        <f>D1094+E1094</f>
        <v>51.23</v>
      </c>
      <c r="G1094" s="226"/>
      <c r="H1094" s="253"/>
      <c r="I1094" s="253"/>
      <c r="J1094" s="253"/>
      <c r="K1094" s="253"/>
      <c r="L1094" s="253"/>
      <c r="M1094" s="253"/>
      <c r="N1094" s="253"/>
      <c r="O1094" s="253"/>
      <c r="P1094" s="253"/>
      <c r="Q1094" s="253"/>
      <c r="R1094" s="253"/>
      <c r="S1094" s="253"/>
      <c r="EH1094" s="348"/>
      <c r="HF1094" s="349"/>
      <c r="HG1094" s="350"/>
      <c r="IU1094" s="349">
        <v>37.770000000000003</v>
      </c>
      <c r="IV1094" s="351">
        <f>37.77*1.045</f>
        <v>39.47</v>
      </c>
    </row>
    <row r="1095" spans="1:256" s="347" customFormat="1" ht="15.75" hidden="1" x14ac:dyDescent="0.2">
      <c r="A1095" s="405" t="s">
        <v>1437</v>
      </c>
      <c r="B1095" s="381" t="s">
        <v>1438</v>
      </c>
      <c r="C1095" s="379" t="s">
        <v>1385</v>
      </c>
      <c r="D1095" s="263">
        <f>36.29*1.04</f>
        <v>37.74</v>
      </c>
      <c r="E1095" s="96">
        <f>D1095*20%</f>
        <v>7.55</v>
      </c>
      <c r="F1095" s="154">
        <f>D1095+E1095</f>
        <v>45.29</v>
      </c>
      <c r="G1095" s="226"/>
      <c r="H1095" s="253"/>
      <c r="I1095" s="253"/>
      <c r="J1095" s="253"/>
      <c r="K1095" s="253"/>
      <c r="L1095" s="253"/>
      <c r="M1095" s="253"/>
      <c r="N1095" s="253"/>
      <c r="O1095" s="253"/>
      <c r="P1095" s="253"/>
      <c r="Q1095" s="253"/>
      <c r="R1095" s="253"/>
      <c r="S1095" s="253"/>
      <c r="EH1095" s="348"/>
      <c r="HF1095" s="349"/>
      <c r="HG1095" s="350"/>
      <c r="IU1095" s="349">
        <v>33.39</v>
      </c>
      <c r="IV1095" s="351">
        <f>33.39*1.045</f>
        <v>34.89</v>
      </c>
    </row>
    <row r="1096" spans="1:256" s="347" customFormat="1" ht="31.5" hidden="1" x14ac:dyDescent="0.2">
      <c r="A1096" s="405" t="s">
        <v>1439</v>
      </c>
      <c r="B1096" s="381" t="s">
        <v>1440</v>
      </c>
      <c r="C1096" s="379" t="s">
        <v>1441</v>
      </c>
      <c r="D1096" s="263">
        <f>18.14*1.04</f>
        <v>18.87</v>
      </c>
      <c r="E1096" s="96">
        <f>D1096*20%</f>
        <v>3.77</v>
      </c>
      <c r="F1096" s="154">
        <f>D1096+E1096</f>
        <v>22.64</v>
      </c>
      <c r="G1096" s="226"/>
      <c r="H1096" s="253"/>
      <c r="I1096" s="253"/>
      <c r="J1096" s="253"/>
      <c r="K1096" s="253"/>
      <c r="L1096" s="253"/>
      <c r="M1096" s="253"/>
      <c r="N1096" s="253"/>
      <c r="O1096" s="253"/>
      <c r="P1096" s="253"/>
      <c r="Q1096" s="253"/>
      <c r="R1096" s="253"/>
      <c r="S1096" s="253"/>
      <c r="EH1096" s="348"/>
      <c r="HF1096" s="349"/>
      <c r="HG1096" s="350"/>
      <c r="IU1096" s="349">
        <v>16.690000000000001</v>
      </c>
      <c r="IV1096" s="351">
        <f>16.69*1.045</f>
        <v>17.440000000000001</v>
      </c>
    </row>
    <row r="1097" spans="1:256" s="347" customFormat="1" ht="23.25" hidden="1" customHeight="1" x14ac:dyDescent="0.2">
      <c r="A1097" s="405" t="s">
        <v>565</v>
      </c>
      <c r="B1097" s="430" t="s">
        <v>1442</v>
      </c>
      <c r="C1097" s="430"/>
      <c r="D1097" s="430"/>
      <c r="E1097" s="430"/>
      <c r="F1097" s="430"/>
      <c r="G1097" s="226"/>
      <c r="H1097" s="253"/>
      <c r="I1097" s="253"/>
      <c r="J1097" s="253"/>
      <c r="K1097" s="253"/>
      <c r="L1097" s="253"/>
      <c r="M1097" s="253"/>
      <c r="N1097" s="253"/>
      <c r="O1097" s="253"/>
      <c r="P1097" s="253"/>
      <c r="Q1097" s="253"/>
      <c r="R1097" s="253"/>
      <c r="S1097" s="253"/>
      <c r="EH1097" s="348"/>
      <c r="HG1097" s="350"/>
    </row>
    <row r="1098" spans="1:256" s="347" customFormat="1" ht="15.75" hidden="1" x14ac:dyDescent="0.2">
      <c r="A1098" s="405" t="s">
        <v>1443</v>
      </c>
      <c r="B1098" s="381" t="s">
        <v>1444</v>
      </c>
      <c r="C1098" s="379" t="s">
        <v>116</v>
      </c>
      <c r="D1098" s="263">
        <f>48.94*1.04</f>
        <v>50.9</v>
      </c>
      <c r="E1098" s="96">
        <f>D1098*20%</f>
        <v>10.18</v>
      </c>
      <c r="F1098" s="154">
        <f>D1098+E1098</f>
        <v>61.08</v>
      </c>
      <c r="G1098" s="226"/>
      <c r="H1098" s="253"/>
      <c r="I1098" s="253"/>
      <c r="J1098" s="253"/>
      <c r="K1098" s="253"/>
      <c r="L1098" s="253"/>
      <c r="M1098" s="253"/>
      <c r="N1098" s="253"/>
      <c r="O1098" s="253"/>
      <c r="P1098" s="253"/>
      <c r="Q1098" s="253"/>
      <c r="R1098" s="253"/>
      <c r="S1098" s="253"/>
      <c r="EH1098" s="348"/>
      <c r="HF1098" s="349"/>
      <c r="HG1098" s="350"/>
      <c r="IU1098" s="349">
        <v>45.03</v>
      </c>
      <c r="IV1098" s="351">
        <f>45.03*1.045</f>
        <v>47.06</v>
      </c>
    </row>
    <row r="1099" spans="1:256" s="347" customFormat="1" ht="47.25" hidden="1" x14ac:dyDescent="0.2">
      <c r="A1099" s="405" t="s">
        <v>1445</v>
      </c>
      <c r="B1099" s="381" t="s">
        <v>1446</v>
      </c>
      <c r="C1099" s="379" t="s">
        <v>1447</v>
      </c>
      <c r="D1099" s="263">
        <f>0.54*1.04</f>
        <v>0.56000000000000005</v>
      </c>
      <c r="E1099" s="96">
        <f>D1099*20%</f>
        <v>0.11</v>
      </c>
      <c r="F1099" s="154">
        <f>D1099+E1099</f>
        <v>0.67</v>
      </c>
      <c r="G1099" s="226"/>
      <c r="H1099" s="253"/>
      <c r="I1099" s="253"/>
      <c r="J1099" s="253"/>
      <c r="K1099" s="253"/>
      <c r="L1099" s="253"/>
      <c r="M1099" s="253"/>
      <c r="N1099" s="253"/>
      <c r="O1099" s="253"/>
      <c r="P1099" s="253"/>
      <c r="Q1099" s="253"/>
      <c r="R1099" s="253"/>
      <c r="S1099" s="253"/>
      <c r="EH1099" s="348"/>
      <c r="HF1099" s="349"/>
      <c r="HG1099" s="350"/>
      <c r="IU1099" s="349">
        <v>0.5</v>
      </c>
      <c r="IV1099" s="351">
        <f>0.5*1.045</f>
        <v>0.52</v>
      </c>
    </row>
    <row r="1100" spans="1:256" s="347" customFormat="1" ht="25.5" hidden="1" customHeight="1" x14ac:dyDescent="0.2">
      <c r="A1100" s="405" t="s">
        <v>567</v>
      </c>
      <c r="B1100" s="430" t="s">
        <v>1448</v>
      </c>
      <c r="C1100" s="430"/>
      <c r="D1100" s="430"/>
      <c r="E1100" s="430"/>
      <c r="F1100" s="430"/>
      <c r="G1100" s="226"/>
      <c r="H1100" s="253"/>
      <c r="I1100" s="253"/>
      <c r="J1100" s="253"/>
      <c r="K1100" s="253"/>
      <c r="L1100" s="253"/>
      <c r="M1100" s="253"/>
      <c r="N1100" s="253"/>
      <c r="O1100" s="253"/>
      <c r="P1100" s="253"/>
      <c r="Q1100" s="253"/>
      <c r="R1100" s="253"/>
      <c r="S1100" s="253"/>
      <c r="EH1100" s="348"/>
      <c r="HG1100" s="350"/>
    </row>
    <row r="1101" spans="1:256" s="347" customFormat="1" ht="15.75" hidden="1" x14ac:dyDescent="0.2">
      <c r="A1101" s="405" t="s">
        <v>1449</v>
      </c>
      <c r="B1101" s="381" t="s">
        <v>1450</v>
      </c>
      <c r="C1101" s="379" t="s">
        <v>116</v>
      </c>
      <c r="D1101" s="263">
        <f>313.89*1.04</f>
        <v>326.45</v>
      </c>
      <c r="E1101" s="96">
        <f t="shared" ref="E1101:E1110" si="58">D1101*20%</f>
        <v>65.290000000000006</v>
      </c>
      <c r="F1101" s="154">
        <f t="shared" ref="F1101:F1110" si="59">D1101+E1101</f>
        <v>391.74</v>
      </c>
      <c r="G1101" s="226"/>
      <c r="H1101" s="253"/>
      <c r="I1101" s="253"/>
      <c r="J1101" s="253"/>
      <c r="K1101" s="253"/>
      <c r="L1101" s="253"/>
      <c r="M1101" s="253"/>
      <c r="N1101" s="253"/>
      <c r="O1101" s="253"/>
      <c r="P1101" s="253"/>
      <c r="Q1101" s="253"/>
      <c r="R1101" s="253"/>
      <c r="S1101" s="253"/>
      <c r="EH1101" s="348"/>
      <c r="HF1101" s="349"/>
      <c r="HG1101" s="350"/>
      <c r="IU1101" s="349">
        <v>288.82</v>
      </c>
      <c r="IV1101" s="351">
        <f>288.82*1.045</f>
        <v>301.82</v>
      </c>
    </row>
    <row r="1102" spans="1:256" s="347" customFormat="1" ht="15.75" hidden="1" x14ac:dyDescent="0.2">
      <c r="A1102" s="405" t="s">
        <v>1451</v>
      </c>
      <c r="B1102" s="381" t="s">
        <v>1452</v>
      </c>
      <c r="C1102" s="379" t="s">
        <v>116</v>
      </c>
      <c r="D1102" s="263">
        <f>329.4*1.04</f>
        <v>342.58</v>
      </c>
      <c r="E1102" s="96">
        <f t="shared" si="58"/>
        <v>68.52</v>
      </c>
      <c r="F1102" s="154">
        <f t="shared" si="59"/>
        <v>411.1</v>
      </c>
      <c r="G1102" s="226"/>
      <c r="H1102" s="253"/>
      <c r="I1102" s="253"/>
      <c r="J1102" s="253"/>
      <c r="K1102" s="253"/>
      <c r="L1102" s="253"/>
      <c r="M1102" s="253"/>
      <c r="N1102" s="253"/>
      <c r="O1102" s="253"/>
      <c r="P1102" s="253"/>
      <c r="Q1102" s="253"/>
      <c r="R1102" s="253"/>
      <c r="S1102" s="253"/>
      <c r="EH1102" s="348"/>
      <c r="HF1102" s="349"/>
      <c r="HG1102" s="350"/>
      <c r="IU1102" s="349">
        <v>303.08999999999997</v>
      </c>
      <c r="IV1102" s="351">
        <f>303.09*1.045</f>
        <v>316.73</v>
      </c>
    </row>
    <row r="1103" spans="1:256" s="347" customFormat="1" ht="15.75" hidden="1" x14ac:dyDescent="0.2">
      <c r="A1103" s="405" t="s">
        <v>1453</v>
      </c>
      <c r="B1103" s="381" t="s">
        <v>1454</v>
      </c>
      <c r="C1103" s="379" t="s">
        <v>116</v>
      </c>
      <c r="D1103" s="263">
        <f>344.92*1.04</f>
        <v>358.72</v>
      </c>
      <c r="E1103" s="96">
        <f t="shared" si="58"/>
        <v>71.739999999999995</v>
      </c>
      <c r="F1103" s="154">
        <f t="shared" si="59"/>
        <v>430.46</v>
      </c>
      <c r="G1103" s="226"/>
      <c r="H1103" s="253"/>
      <c r="I1103" s="253"/>
      <c r="J1103" s="253"/>
      <c r="K1103" s="253"/>
      <c r="L1103" s="253"/>
      <c r="M1103" s="253"/>
      <c r="N1103" s="253"/>
      <c r="O1103" s="253"/>
      <c r="P1103" s="253"/>
      <c r="Q1103" s="253"/>
      <c r="R1103" s="253"/>
      <c r="S1103" s="253"/>
      <c r="EH1103" s="348"/>
      <c r="HF1103" s="349"/>
      <c r="HG1103" s="350"/>
      <c r="IU1103" s="349">
        <v>317.37</v>
      </c>
      <c r="IV1103" s="351">
        <f>317.37*1.045</f>
        <v>331.65</v>
      </c>
    </row>
    <row r="1104" spans="1:256" s="347" customFormat="1" ht="15.75" hidden="1" x14ac:dyDescent="0.2">
      <c r="A1104" s="405" t="s">
        <v>1455</v>
      </c>
      <c r="B1104" s="381" t="s">
        <v>1456</v>
      </c>
      <c r="C1104" s="379" t="s">
        <v>116</v>
      </c>
      <c r="D1104" s="263">
        <f>359.94*1.04</f>
        <v>374.34</v>
      </c>
      <c r="E1104" s="96">
        <f t="shared" si="58"/>
        <v>74.87</v>
      </c>
      <c r="F1104" s="154">
        <f t="shared" si="59"/>
        <v>449.21</v>
      </c>
      <c r="G1104" s="226"/>
      <c r="H1104" s="253"/>
      <c r="I1104" s="253"/>
      <c r="J1104" s="253"/>
      <c r="K1104" s="253"/>
      <c r="L1104" s="253"/>
      <c r="M1104" s="253"/>
      <c r="N1104" s="253"/>
      <c r="O1104" s="253"/>
      <c r="P1104" s="253"/>
      <c r="Q1104" s="253"/>
      <c r="R1104" s="253"/>
      <c r="S1104" s="253"/>
      <c r="EH1104" s="348"/>
      <c r="HF1104" s="349"/>
      <c r="HG1104" s="350"/>
      <c r="IU1104" s="349">
        <v>331.2</v>
      </c>
      <c r="IV1104" s="351">
        <f>331.2*1.045</f>
        <v>346.1</v>
      </c>
    </row>
    <row r="1105" spans="1:256" s="347" customFormat="1" ht="78" hidden="1" customHeight="1" x14ac:dyDescent="0.2">
      <c r="A1105" s="404" t="s">
        <v>569</v>
      </c>
      <c r="B1105" s="397" t="s">
        <v>1457</v>
      </c>
      <c r="C1105" s="379" t="s">
        <v>1385</v>
      </c>
      <c r="D1105" s="263">
        <f>16.14*1.04</f>
        <v>16.79</v>
      </c>
      <c r="E1105" s="96">
        <f t="shared" si="58"/>
        <v>3.36</v>
      </c>
      <c r="F1105" s="154">
        <f t="shared" si="59"/>
        <v>20.149999999999999</v>
      </c>
      <c r="G1105" s="226"/>
      <c r="H1105" s="253"/>
      <c r="I1105" s="253"/>
      <c r="J1105" s="253"/>
      <c r="K1105" s="253"/>
      <c r="L1105" s="253"/>
      <c r="M1105" s="253"/>
      <c r="N1105" s="253"/>
      <c r="O1105" s="253"/>
      <c r="P1105" s="253"/>
      <c r="Q1105" s="253"/>
      <c r="R1105" s="253"/>
      <c r="S1105" s="253"/>
      <c r="EH1105" s="348"/>
      <c r="HF1105" s="349"/>
      <c r="HG1105" s="350"/>
      <c r="IU1105" s="349">
        <v>14.71</v>
      </c>
      <c r="IV1105" s="351">
        <f>14.71*1.055</f>
        <v>15.52</v>
      </c>
    </row>
    <row r="1106" spans="1:256" s="347" customFormat="1" ht="31.5" hidden="1" x14ac:dyDescent="0.2">
      <c r="A1106" s="404" t="s">
        <v>571</v>
      </c>
      <c r="B1106" s="127" t="s">
        <v>1458</v>
      </c>
      <c r="C1106" s="379" t="s">
        <v>1385</v>
      </c>
      <c r="D1106" s="263">
        <f>20.07*1.04</f>
        <v>20.87</v>
      </c>
      <c r="E1106" s="96">
        <f t="shared" si="58"/>
        <v>4.17</v>
      </c>
      <c r="F1106" s="154">
        <f t="shared" si="59"/>
        <v>25.04</v>
      </c>
      <c r="G1106" s="226"/>
      <c r="H1106" s="253"/>
      <c r="I1106" s="253"/>
      <c r="J1106" s="253"/>
      <c r="K1106" s="253"/>
      <c r="L1106" s="253"/>
      <c r="M1106" s="253"/>
      <c r="N1106" s="253"/>
      <c r="O1106" s="253"/>
      <c r="P1106" s="253"/>
      <c r="Q1106" s="253"/>
      <c r="R1106" s="253"/>
      <c r="S1106" s="253"/>
      <c r="EH1106" s="348"/>
      <c r="HF1106" s="349"/>
      <c r="HG1106" s="350"/>
      <c r="IU1106" s="349">
        <v>18.47</v>
      </c>
      <c r="IV1106" s="351">
        <f>18.47*1.045</f>
        <v>19.3</v>
      </c>
    </row>
    <row r="1107" spans="1:256" s="347" customFormat="1" ht="82.5" hidden="1" customHeight="1" x14ac:dyDescent="0.2">
      <c r="A1107" s="404" t="s">
        <v>573</v>
      </c>
      <c r="B1107" s="397" t="s">
        <v>1459</v>
      </c>
      <c r="C1107" s="379" t="s">
        <v>1385</v>
      </c>
      <c r="D1107" s="263">
        <f>7.95*1.04</f>
        <v>8.27</v>
      </c>
      <c r="E1107" s="96">
        <f t="shared" si="58"/>
        <v>1.65</v>
      </c>
      <c r="F1107" s="154">
        <f t="shared" si="59"/>
        <v>9.92</v>
      </c>
      <c r="G1107" s="226"/>
      <c r="H1107" s="253"/>
      <c r="I1107" s="253"/>
      <c r="J1107" s="253"/>
      <c r="K1107" s="253"/>
      <c r="L1107" s="253"/>
      <c r="M1107" s="253"/>
      <c r="N1107" s="253"/>
      <c r="O1107" s="253"/>
      <c r="P1107" s="253"/>
      <c r="Q1107" s="253"/>
      <c r="R1107" s="253"/>
      <c r="S1107" s="253"/>
      <c r="EH1107" s="348"/>
      <c r="HF1107" s="349"/>
      <c r="HG1107" s="350"/>
      <c r="IU1107" s="349">
        <v>7.24</v>
      </c>
      <c r="IV1107" s="351">
        <f>7.24*1.055</f>
        <v>7.64</v>
      </c>
    </row>
    <row r="1108" spans="1:256" s="347" customFormat="1" ht="47.25" hidden="1" customHeight="1" x14ac:dyDescent="0.2">
      <c r="A1108" s="404" t="s">
        <v>575</v>
      </c>
      <c r="B1108" s="397" t="s">
        <v>1460</v>
      </c>
      <c r="C1108" s="379" t="s">
        <v>1385</v>
      </c>
      <c r="D1108" s="263">
        <f>16.14*1.04</f>
        <v>16.79</v>
      </c>
      <c r="E1108" s="96">
        <f t="shared" si="58"/>
        <v>3.36</v>
      </c>
      <c r="F1108" s="154">
        <f t="shared" si="59"/>
        <v>20.149999999999999</v>
      </c>
      <c r="G1108" s="226"/>
      <c r="H1108" s="253"/>
      <c r="I1108" s="253"/>
      <c r="J1108" s="253"/>
      <c r="K1108" s="253"/>
      <c r="L1108" s="253"/>
      <c r="M1108" s="253"/>
      <c r="N1108" s="253"/>
      <c r="O1108" s="253"/>
      <c r="P1108" s="253"/>
      <c r="Q1108" s="253"/>
      <c r="R1108" s="253"/>
      <c r="S1108" s="253"/>
      <c r="EH1108" s="348"/>
      <c r="HF1108" s="349"/>
      <c r="HG1108" s="350"/>
      <c r="IU1108" s="349">
        <v>14.71</v>
      </c>
      <c r="IV1108" s="351">
        <f>14.71*1.055</f>
        <v>15.52</v>
      </c>
    </row>
    <row r="1109" spans="1:256" s="347" customFormat="1" ht="31.5" hidden="1" customHeight="1" x14ac:dyDescent="0.2">
      <c r="A1109" s="404" t="s">
        <v>1461</v>
      </c>
      <c r="B1109" s="397" t="s">
        <v>1462</v>
      </c>
      <c r="C1109" s="379" t="s">
        <v>1385</v>
      </c>
      <c r="D1109" s="263">
        <f>17.66*1.04</f>
        <v>18.37</v>
      </c>
      <c r="E1109" s="96">
        <f t="shared" si="58"/>
        <v>3.67</v>
      </c>
      <c r="F1109" s="154">
        <f t="shared" si="59"/>
        <v>22.04</v>
      </c>
      <c r="G1109" s="226"/>
      <c r="H1109" s="253"/>
      <c r="I1109" s="253"/>
      <c r="J1109" s="253"/>
      <c r="K1109" s="253"/>
      <c r="L1109" s="253"/>
      <c r="M1109" s="253"/>
      <c r="N1109" s="253"/>
      <c r="O1109" s="253"/>
      <c r="P1109" s="253"/>
      <c r="Q1109" s="253"/>
      <c r="R1109" s="253"/>
      <c r="S1109" s="253"/>
      <c r="EH1109" s="348"/>
      <c r="HF1109" s="349"/>
      <c r="HG1109" s="350"/>
      <c r="IU1109" s="349">
        <v>16.25</v>
      </c>
      <c r="IV1109" s="351">
        <f>16.25*1.045</f>
        <v>16.98</v>
      </c>
    </row>
    <row r="1110" spans="1:256" s="347" customFormat="1" ht="32.25" hidden="1" customHeight="1" x14ac:dyDescent="0.2">
      <c r="A1110" s="404" t="s">
        <v>1463</v>
      </c>
      <c r="B1110" s="397" t="s">
        <v>1464</v>
      </c>
      <c r="C1110" s="379" t="s">
        <v>1385</v>
      </c>
      <c r="D1110" s="263">
        <f>9.56*1.04</f>
        <v>9.94</v>
      </c>
      <c r="E1110" s="96">
        <f t="shared" si="58"/>
        <v>1.99</v>
      </c>
      <c r="F1110" s="154">
        <f t="shared" si="59"/>
        <v>11.93</v>
      </c>
      <c r="G1110" s="226"/>
      <c r="H1110" s="253"/>
      <c r="I1110" s="253"/>
      <c r="J1110" s="253"/>
      <c r="K1110" s="253"/>
      <c r="L1110" s="253"/>
      <c r="M1110" s="253"/>
      <c r="N1110" s="253"/>
      <c r="O1110" s="253"/>
      <c r="P1110" s="253"/>
      <c r="Q1110" s="253"/>
      <c r="R1110" s="253"/>
      <c r="S1110" s="253"/>
      <c r="EH1110" s="348"/>
      <c r="HF1110" s="349"/>
      <c r="HG1110" s="350"/>
      <c r="IU1110" s="349">
        <v>8.7899999999999991</v>
      </c>
      <c r="IV1110" s="351">
        <f>8.79*1.045</f>
        <v>9.19</v>
      </c>
    </row>
    <row r="1111" spans="1:256" s="347" customFormat="1" ht="30.75" hidden="1" customHeight="1" x14ac:dyDescent="0.2">
      <c r="A1111" s="404" t="s">
        <v>1465</v>
      </c>
      <c r="B1111" s="430" t="s">
        <v>1466</v>
      </c>
      <c r="C1111" s="430"/>
      <c r="D1111" s="430"/>
      <c r="E1111" s="430"/>
      <c r="F1111" s="430"/>
      <c r="G1111" s="226"/>
      <c r="H1111" s="253"/>
      <c r="I1111" s="253"/>
      <c r="J1111" s="253"/>
      <c r="K1111" s="253"/>
      <c r="L1111" s="253"/>
      <c r="M1111" s="253"/>
      <c r="N1111" s="253"/>
      <c r="O1111" s="253"/>
      <c r="P1111" s="253"/>
      <c r="Q1111" s="253"/>
      <c r="R1111" s="253"/>
      <c r="S1111" s="253"/>
      <c r="EH1111" s="348"/>
      <c r="HG1111" s="350"/>
    </row>
    <row r="1112" spans="1:256" s="347" customFormat="1" ht="15.75" hidden="1" x14ac:dyDescent="0.2">
      <c r="A1112" s="404" t="s">
        <v>1467</v>
      </c>
      <c r="B1112" s="381" t="s">
        <v>1436</v>
      </c>
      <c r="C1112" s="379" t="s">
        <v>1348</v>
      </c>
      <c r="D1112" s="263">
        <f>2.79*1.04</f>
        <v>2.9</v>
      </c>
      <c r="E1112" s="96">
        <f t="shared" ref="E1112:E1123" si="60">D1112*20%</f>
        <v>0.57999999999999996</v>
      </c>
      <c r="F1112" s="154">
        <f>D1112+E1112</f>
        <v>3.48</v>
      </c>
      <c r="G1112" s="226"/>
      <c r="H1112" s="253"/>
      <c r="I1112" s="253"/>
      <c r="J1112" s="253"/>
      <c r="K1112" s="253"/>
      <c r="L1112" s="253"/>
      <c r="M1112" s="253"/>
      <c r="N1112" s="253"/>
      <c r="O1112" s="253"/>
      <c r="P1112" s="253"/>
      <c r="Q1112" s="253"/>
      <c r="R1112" s="253"/>
      <c r="S1112" s="253"/>
      <c r="EH1112" s="348"/>
      <c r="HF1112" s="349"/>
      <c r="HG1112" s="350"/>
      <c r="IU1112" s="349">
        <v>2.56</v>
      </c>
      <c r="IV1112" s="351">
        <f>2.56*1.045</f>
        <v>2.68</v>
      </c>
    </row>
    <row r="1113" spans="1:256" s="347" customFormat="1" ht="15.75" hidden="1" x14ac:dyDescent="0.2">
      <c r="A1113" s="404" t="s">
        <v>1468</v>
      </c>
      <c r="B1113" s="381" t="s">
        <v>1469</v>
      </c>
      <c r="C1113" s="379" t="s">
        <v>1385</v>
      </c>
      <c r="D1113" s="263">
        <f>21.25*1.04</f>
        <v>22.1</v>
      </c>
      <c r="E1113" s="96">
        <f t="shared" si="60"/>
        <v>4.42</v>
      </c>
      <c r="F1113" s="154">
        <f>D1113+E1113</f>
        <v>26.52</v>
      </c>
      <c r="G1113" s="226"/>
      <c r="H1113" s="253"/>
      <c r="I1113" s="253"/>
      <c r="J1113" s="253"/>
      <c r="K1113" s="253"/>
      <c r="L1113" s="253"/>
      <c r="M1113" s="253"/>
      <c r="N1113" s="253"/>
      <c r="O1113" s="253"/>
      <c r="P1113" s="253"/>
      <c r="Q1113" s="253"/>
      <c r="R1113" s="253"/>
      <c r="S1113" s="253"/>
      <c r="EH1113" s="348"/>
      <c r="HF1113" s="349"/>
      <c r="HG1113" s="350"/>
      <c r="IU1113" s="349">
        <v>19.55</v>
      </c>
      <c r="IV1113" s="351">
        <f>19.55*1.045</f>
        <v>20.43</v>
      </c>
    </row>
    <row r="1114" spans="1:256" s="347" customFormat="1" ht="15.75" hidden="1" customHeight="1" x14ac:dyDescent="0.2">
      <c r="A1114" s="438" t="s">
        <v>1470</v>
      </c>
      <c r="B1114" s="381" t="s">
        <v>1471</v>
      </c>
      <c r="C1114" s="379" t="s">
        <v>1348</v>
      </c>
      <c r="D1114" s="263">
        <f>0.43*1.04</f>
        <v>0.45</v>
      </c>
      <c r="E1114" s="96">
        <f t="shared" si="60"/>
        <v>0.09</v>
      </c>
      <c r="F1114" s="154">
        <f t="shared" ref="F1114:F1123" si="61">D1114+E1114</f>
        <v>0.54</v>
      </c>
      <c r="G1114" s="226"/>
      <c r="H1114" s="253"/>
      <c r="I1114" s="253"/>
      <c r="J1114" s="253"/>
      <c r="K1114" s="253"/>
      <c r="L1114" s="253"/>
      <c r="M1114" s="253"/>
      <c r="N1114" s="253"/>
      <c r="O1114" s="253"/>
      <c r="P1114" s="253"/>
      <c r="Q1114" s="253"/>
      <c r="R1114" s="253"/>
      <c r="S1114" s="253"/>
      <c r="EH1114" s="348"/>
      <c r="HF1114" s="349"/>
      <c r="HG1114" s="350"/>
      <c r="IU1114" s="349">
        <v>0.39</v>
      </c>
      <c r="IV1114" s="351">
        <f>0.39*1.045</f>
        <v>0.41</v>
      </c>
    </row>
    <row r="1115" spans="1:256" s="347" customFormat="1" ht="77.25" hidden="1" customHeight="1" x14ac:dyDescent="0.2">
      <c r="A1115" s="438"/>
      <c r="B1115" s="381" t="s">
        <v>1472</v>
      </c>
      <c r="C1115" s="379" t="s">
        <v>1385</v>
      </c>
      <c r="D1115" s="263">
        <f>10.75*1.04</f>
        <v>11.18</v>
      </c>
      <c r="E1115" s="96">
        <f t="shared" si="60"/>
        <v>2.2400000000000002</v>
      </c>
      <c r="F1115" s="154">
        <f t="shared" si="61"/>
        <v>13.42</v>
      </c>
      <c r="G1115" s="226"/>
      <c r="H1115" s="253"/>
      <c r="I1115" s="253"/>
      <c r="J1115" s="253"/>
      <c r="K1115" s="253"/>
      <c r="L1115" s="253"/>
      <c r="M1115" s="253"/>
      <c r="N1115" s="253"/>
      <c r="O1115" s="253"/>
      <c r="P1115" s="253"/>
      <c r="Q1115" s="253"/>
      <c r="R1115" s="253"/>
      <c r="S1115" s="253"/>
      <c r="EH1115" s="348"/>
      <c r="HF1115" s="349"/>
      <c r="HG1115" s="350"/>
      <c r="IU1115" s="349">
        <v>9.89</v>
      </c>
      <c r="IV1115" s="351">
        <f>9.89*1.045</f>
        <v>10.34</v>
      </c>
    </row>
    <row r="1116" spans="1:256" s="347" customFormat="1" ht="32.25" hidden="1" customHeight="1" x14ac:dyDescent="0.2">
      <c r="A1116" s="404" t="s">
        <v>1473</v>
      </c>
      <c r="B1116" s="397" t="s">
        <v>1474</v>
      </c>
      <c r="C1116" s="379" t="s">
        <v>1385</v>
      </c>
      <c r="D1116" s="263">
        <f>10.75*1.04</f>
        <v>11.18</v>
      </c>
      <c r="E1116" s="96">
        <f t="shared" si="60"/>
        <v>2.2400000000000002</v>
      </c>
      <c r="F1116" s="154">
        <f t="shared" si="61"/>
        <v>13.42</v>
      </c>
      <c r="G1116" s="226"/>
      <c r="H1116" s="253"/>
      <c r="I1116" s="253"/>
      <c r="J1116" s="253"/>
      <c r="K1116" s="253"/>
      <c r="L1116" s="253"/>
      <c r="M1116" s="253"/>
      <c r="N1116" s="253"/>
      <c r="O1116" s="253"/>
      <c r="P1116" s="253"/>
      <c r="Q1116" s="253"/>
      <c r="R1116" s="253"/>
      <c r="S1116" s="253"/>
      <c r="EH1116" s="348"/>
      <c r="HF1116" s="349"/>
      <c r="HG1116" s="350"/>
      <c r="IU1116" s="349">
        <v>9.89</v>
      </c>
      <c r="IV1116" s="351">
        <f>9.89*1.045</f>
        <v>10.34</v>
      </c>
    </row>
    <row r="1117" spans="1:256" s="347" customFormat="1" ht="24" hidden="1" customHeight="1" x14ac:dyDescent="0.2">
      <c r="A1117" s="404" t="s">
        <v>1475</v>
      </c>
      <c r="B1117" s="397" t="s">
        <v>1476</v>
      </c>
      <c r="C1117" s="379" t="s">
        <v>1385</v>
      </c>
      <c r="D1117" s="263">
        <f>10.75*1.04</f>
        <v>11.18</v>
      </c>
      <c r="E1117" s="96">
        <f t="shared" si="60"/>
        <v>2.2400000000000002</v>
      </c>
      <c r="F1117" s="154">
        <f t="shared" si="61"/>
        <v>13.42</v>
      </c>
      <c r="G1117" s="226"/>
      <c r="H1117" s="253"/>
      <c r="I1117" s="253"/>
      <c r="J1117" s="253"/>
      <c r="K1117" s="253"/>
      <c r="L1117" s="253"/>
      <c r="M1117" s="253"/>
      <c r="N1117" s="253"/>
      <c r="O1117" s="253"/>
      <c r="P1117" s="253"/>
      <c r="Q1117" s="253"/>
      <c r="R1117" s="253"/>
      <c r="S1117" s="253"/>
      <c r="EH1117" s="348"/>
      <c r="HF1117" s="349"/>
      <c r="HG1117" s="350"/>
      <c r="IU1117" s="349">
        <v>9.89</v>
      </c>
      <c r="IV1117" s="351">
        <f>9.89*1.045</f>
        <v>10.34</v>
      </c>
    </row>
    <row r="1118" spans="1:256" s="347" customFormat="1" ht="34.5" hidden="1" customHeight="1" x14ac:dyDescent="0.2">
      <c r="A1118" s="404" t="s">
        <v>1477</v>
      </c>
      <c r="B1118" s="397" t="s">
        <v>1478</v>
      </c>
      <c r="C1118" s="379" t="s">
        <v>1385</v>
      </c>
      <c r="D1118" s="263">
        <f>10.75*1.04</f>
        <v>11.18</v>
      </c>
      <c r="E1118" s="96">
        <f t="shared" si="60"/>
        <v>2.2400000000000002</v>
      </c>
      <c r="F1118" s="154">
        <f t="shared" si="61"/>
        <v>13.42</v>
      </c>
      <c r="G1118" s="226"/>
      <c r="H1118" s="253"/>
      <c r="I1118" s="253"/>
      <c r="J1118" s="253"/>
      <c r="K1118" s="253"/>
      <c r="L1118" s="253"/>
      <c r="M1118" s="253"/>
      <c r="N1118" s="253"/>
      <c r="O1118" s="253"/>
      <c r="P1118" s="253"/>
      <c r="Q1118" s="253"/>
      <c r="R1118" s="253"/>
      <c r="S1118" s="253"/>
      <c r="EH1118" s="348"/>
      <c r="HF1118" s="349"/>
      <c r="HG1118" s="350"/>
      <c r="IU1118" s="349">
        <v>9.89</v>
      </c>
      <c r="IV1118" s="351">
        <f>9.89*1.045</f>
        <v>10.34</v>
      </c>
    </row>
    <row r="1119" spans="1:256" s="347" customFormat="1" ht="29.25" hidden="1" customHeight="1" x14ac:dyDescent="0.2">
      <c r="A1119" s="404" t="s">
        <v>1479</v>
      </c>
      <c r="B1119" s="397" t="s">
        <v>1480</v>
      </c>
      <c r="C1119" s="379" t="s">
        <v>1385</v>
      </c>
      <c r="D1119" s="263">
        <f>16*1.04</f>
        <v>16.64</v>
      </c>
      <c r="E1119" s="96">
        <f t="shared" si="60"/>
        <v>3.33</v>
      </c>
      <c r="F1119" s="154">
        <f t="shared" si="61"/>
        <v>19.97</v>
      </c>
      <c r="G1119" s="226"/>
      <c r="H1119" s="253"/>
      <c r="I1119" s="253"/>
      <c r="J1119" s="253"/>
      <c r="K1119" s="253"/>
      <c r="L1119" s="253"/>
      <c r="M1119" s="253"/>
      <c r="N1119" s="253"/>
      <c r="O1119" s="253"/>
      <c r="P1119" s="253"/>
      <c r="Q1119" s="253"/>
      <c r="R1119" s="253"/>
      <c r="S1119" s="253"/>
      <c r="EH1119" s="348"/>
      <c r="HF1119" s="349"/>
      <c r="HG1119" s="350"/>
      <c r="IU1119" s="349">
        <v>14.72</v>
      </c>
      <c r="IV1119" s="351">
        <f>14.72*1.045</f>
        <v>15.38</v>
      </c>
    </row>
    <row r="1120" spans="1:256" s="347" customFormat="1" ht="27.75" hidden="1" x14ac:dyDescent="0.2">
      <c r="A1120" s="404" t="s">
        <v>1481</v>
      </c>
      <c r="B1120" s="397" t="s">
        <v>1482</v>
      </c>
      <c r="C1120" s="379" t="s">
        <v>1385</v>
      </c>
      <c r="D1120" s="263">
        <f>16*1.04</f>
        <v>16.64</v>
      </c>
      <c r="E1120" s="96">
        <f t="shared" si="60"/>
        <v>3.33</v>
      </c>
      <c r="F1120" s="154">
        <f t="shared" si="61"/>
        <v>19.97</v>
      </c>
      <c r="G1120" s="226"/>
      <c r="H1120" s="253"/>
      <c r="I1120" s="253"/>
      <c r="J1120" s="253"/>
      <c r="K1120" s="253"/>
      <c r="L1120" s="253"/>
      <c r="M1120" s="253"/>
      <c r="N1120" s="253"/>
      <c r="O1120" s="253"/>
      <c r="P1120" s="253"/>
      <c r="Q1120" s="253"/>
      <c r="R1120" s="253"/>
      <c r="S1120" s="253"/>
      <c r="EH1120" s="348"/>
      <c r="HF1120" s="349"/>
      <c r="HG1120" s="350"/>
      <c r="IU1120" s="349">
        <v>14.72</v>
      </c>
      <c r="IV1120" s="351">
        <f>14.72*1.045</f>
        <v>15.38</v>
      </c>
    </row>
    <row r="1121" spans="1:256" s="347" customFormat="1" ht="50.25" hidden="1" customHeight="1" x14ac:dyDescent="0.2">
      <c r="A1121" s="404" t="s">
        <v>1483</v>
      </c>
      <c r="B1121" s="397" t="s">
        <v>1484</v>
      </c>
      <c r="C1121" s="379" t="s">
        <v>1385</v>
      </c>
      <c r="D1121" s="263">
        <f>16*1.04</f>
        <v>16.64</v>
      </c>
      <c r="E1121" s="96">
        <f t="shared" si="60"/>
        <v>3.33</v>
      </c>
      <c r="F1121" s="154">
        <f t="shared" si="61"/>
        <v>19.97</v>
      </c>
      <c r="G1121" s="226"/>
      <c r="H1121" s="253"/>
      <c r="I1121" s="253"/>
      <c r="J1121" s="253"/>
      <c r="K1121" s="253"/>
      <c r="L1121" s="253"/>
      <c r="M1121" s="253"/>
      <c r="N1121" s="253"/>
      <c r="O1121" s="253"/>
      <c r="P1121" s="253"/>
      <c r="Q1121" s="253"/>
      <c r="R1121" s="253"/>
      <c r="S1121" s="253"/>
      <c r="EH1121" s="348"/>
      <c r="HF1121" s="349"/>
      <c r="HG1121" s="350"/>
      <c r="IU1121" s="349">
        <v>14.72</v>
      </c>
      <c r="IV1121" s="351">
        <f>14.72*1.045</f>
        <v>15.38</v>
      </c>
    </row>
    <row r="1122" spans="1:256" s="347" customFormat="1" ht="33.75" hidden="1" customHeight="1" x14ac:dyDescent="0.2">
      <c r="A1122" s="404" t="s">
        <v>1485</v>
      </c>
      <c r="B1122" s="397" t="s">
        <v>1486</v>
      </c>
      <c r="C1122" s="379" t="s">
        <v>1385</v>
      </c>
      <c r="D1122" s="263">
        <f>16*1.04</f>
        <v>16.64</v>
      </c>
      <c r="E1122" s="96">
        <f t="shared" si="60"/>
        <v>3.33</v>
      </c>
      <c r="F1122" s="154">
        <f t="shared" si="61"/>
        <v>19.97</v>
      </c>
      <c r="G1122" s="226"/>
      <c r="H1122" s="253"/>
      <c r="I1122" s="253"/>
      <c r="J1122" s="253"/>
      <c r="K1122" s="253"/>
      <c r="L1122" s="253"/>
      <c r="M1122" s="253"/>
      <c r="N1122" s="253"/>
      <c r="O1122" s="253"/>
      <c r="P1122" s="253"/>
      <c r="Q1122" s="253"/>
      <c r="R1122" s="253"/>
      <c r="S1122" s="253"/>
      <c r="EH1122" s="348"/>
      <c r="HF1122" s="349"/>
      <c r="HG1122" s="350"/>
      <c r="IU1122" s="349">
        <v>14.72</v>
      </c>
      <c r="IV1122" s="351">
        <f>14.72*1.045</f>
        <v>15.38</v>
      </c>
    </row>
    <row r="1123" spans="1:256" s="347" customFormat="1" ht="33" hidden="1" customHeight="1" x14ac:dyDescent="0.2">
      <c r="A1123" s="404" t="s">
        <v>1487</v>
      </c>
      <c r="B1123" s="397" t="s">
        <v>1488</v>
      </c>
      <c r="C1123" s="379" t="s">
        <v>1385</v>
      </c>
      <c r="D1123" s="263">
        <f>16*1.04</f>
        <v>16.64</v>
      </c>
      <c r="E1123" s="96">
        <f t="shared" si="60"/>
        <v>3.33</v>
      </c>
      <c r="F1123" s="154">
        <f t="shared" si="61"/>
        <v>19.97</v>
      </c>
      <c r="G1123" s="226"/>
      <c r="H1123" s="253"/>
      <c r="I1123" s="253"/>
      <c r="J1123" s="253"/>
      <c r="K1123" s="253"/>
      <c r="L1123" s="253"/>
      <c r="M1123" s="253"/>
      <c r="N1123" s="253"/>
      <c r="O1123" s="253"/>
      <c r="P1123" s="253"/>
      <c r="Q1123" s="253"/>
      <c r="R1123" s="253"/>
      <c r="S1123" s="253"/>
      <c r="EH1123" s="348"/>
      <c r="HF1123" s="349"/>
      <c r="HG1123" s="350"/>
      <c r="IU1123" s="349">
        <v>14.72</v>
      </c>
      <c r="IV1123" s="351">
        <f>14.72*1.045</f>
        <v>15.38</v>
      </c>
    </row>
    <row r="1124" spans="1:256" s="347" customFormat="1" ht="18.75" hidden="1" customHeight="1" x14ac:dyDescent="0.2">
      <c r="A1124" s="404" t="s">
        <v>1489</v>
      </c>
      <c r="B1124" s="430" t="s">
        <v>1490</v>
      </c>
      <c r="C1124" s="430"/>
      <c r="D1124" s="430"/>
      <c r="E1124" s="430"/>
      <c r="F1124" s="430"/>
      <c r="G1124" s="226"/>
      <c r="H1124" s="253"/>
      <c r="I1124" s="253"/>
      <c r="J1124" s="253"/>
      <c r="K1124" s="253"/>
      <c r="L1124" s="253"/>
      <c r="M1124" s="253"/>
      <c r="N1124" s="253"/>
      <c r="O1124" s="253"/>
      <c r="P1124" s="253"/>
      <c r="Q1124" s="253"/>
      <c r="R1124" s="253"/>
      <c r="S1124" s="253"/>
      <c r="EH1124" s="348"/>
      <c r="HG1124" s="350"/>
    </row>
    <row r="1125" spans="1:256" s="347" customFormat="1" ht="15.75" hidden="1" x14ac:dyDescent="0.2">
      <c r="A1125" s="404" t="s">
        <v>1491</v>
      </c>
      <c r="B1125" s="381" t="s">
        <v>1436</v>
      </c>
      <c r="C1125" s="379" t="s">
        <v>116</v>
      </c>
      <c r="D1125" s="263">
        <f>1.6*1.04</f>
        <v>1.66</v>
      </c>
      <c r="E1125" s="96">
        <f>D1125*20%</f>
        <v>0.33</v>
      </c>
      <c r="F1125" s="154">
        <f>D1125+E1125</f>
        <v>1.99</v>
      </c>
      <c r="G1125" s="226"/>
      <c r="H1125" s="253"/>
      <c r="I1125" s="253"/>
      <c r="J1125" s="253"/>
      <c r="K1125" s="253"/>
      <c r="L1125" s="253"/>
      <c r="M1125" s="253"/>
      <c r="N1125" s="253"/>
      <c r="O1125" s="253"/>
      <c r="P1125" s="253"/>
      <c r="Q1125" s="253"/>
      <c r="R1125" s="253"/>
      <c r="S1125" s="253"/>
      <c r="EH1125" s="348"/>
      <c r="HF1125" s="349"/>
      <c r="HG1125" s="350"/>
      <c r="IU1125" s="349">
        <v>1.47</v>
      </c>
      <c r="IV1125" s="351">
        <f>1.47*1.045</f>
        <v>1.54</v>
      </c>
    </row>
    <row r="1126" spans="1:256" s="347" customFormat="1" ht="15.75" hidden="1" x14ac:dyDescent="0.2">
      <c r="A1126" s="404" t="s">
        <v>1492</v>
      </c>
      <c r="B1126" s="381" t="s">
        <v>1469</v>
      </c>
      <c r="C1126" s="379" t="s">
        <v>1385</v>
      </c>
      <c r="D1126" s="263">
        <f>16*1.04</f>
        <v>16.64</v>
      </c>
      <c r="E1126" s="96">
        <f>D1126*20%</f>
        <v>3.33</v>
      </c>
      <c r="F1126" s="154">
        <f>D1126+E1126</f>
        <v>19.97</v>
      </c>
      <c r="G1126" s="226"/>
      <c r="H1126" s="253"/>
      <c r="I1126" s="253"/>
      <c r="J1126" s="253"/>
      <c r="K1126" s="253"/>
      <c r="L1126" s="253"/>
      <c r="M1126" s="253"/>
      <c r="N1126" s="253"/>
      <c r="O1126" s="253"/>
      <c r="P1126" s="253"/>
      <c r="Q1126" s="253"/>
      <c r="R1126" s="253"/>
      <c r="S1126" s="253"/>
      <c r="EH1126" s="348"/>
      <c r="HF1126" s="349"/>
      <c r="HG1126" s="350"/>
      <c r="IU1126" s="349">
        <v>14.72</v>
      </c>
      <c r="IV1126" s="351">
        <f>14.72*1.045</f>
        <v>15.38</v>
      </c>
    </row>
    <row r="1127" spans="1:256" s="347" customFormat="1" ht="52.5" hidden="1" customHeight="1" x14ac:dyDescent="0.2">
      <c r="A1127" s="108" t="s">
        <v>29</v>
      </c>
      <c r="B1127" s="437" t="s">
        <v>1493</v>
      </c>
      <c r="C1127" s="437"/>
      <c r="D1127" s="437"/>
      <c r="E1127" s="437"/>
      <c r="F1127" s="437"/>
      <c r="G1127" s="226"/>
      <c r="H1127" s="253"/>
      <c r="I1127" s="253"/>
      <c r="J1127" s="253"/>
      <c r="K1127" s="253"/>
      <c r="L1127" s="253"/>
      <c r="M1127" s="253"/>
      <c r="N1127" s="253"/>
      <c r="O1127" s="253"/>
      <c r="P1127" s="253"/>
      <c r="Q1127" s="253"/>
      <c r="R1127" s="253"/>
      <c r="S1127" s="253"/>
      <c r="EH1127" s="348"/>
      <c r="HG1127" s="350"/>
    </row>
    <row r="1128" spans="1:256" s="347" customFormat="1" ht="33" hidden="1" customHeight="1" x14ac:dyDescent="0.2">
      <c r="A1128" s="404" t="s">
        <v>578</v>
      </c>
      <c r="B1128" s="397" t="s">
        <v>1494</v>
      </c>
      <c r="C1128" s="379" t="s">
        <v>1385</v>
      </c>
      <c r="D1128" s="263">
        <f>39.62*1.04</f>
        <v>41.2</v>
      </c>
      <c r="E1128" s="96">
        <f t="shared" ref="E1128:E1139" si="62">D1128*20%</f>
        <v>8.24</v>
      </c>
      <c r="F1128" s="154">
        <f t="shared" ref="F1128:F1139" si="63">D1128+E1128</f>
        <v>49.44</v>
      </c>
      <c r="G1128" s="226"/>
      <c r="H1128" s="253"/>
      <c r="I1128" s="253"/>
      <c r="J1128" s="253"/>
      <c r="K1128" s="253"/>
      <c r="L1128" s="253"/>
      <c r="M1128" s="253"/>
      <c r="N1128" s="253"/>
      <c r="O1128" s="253"/>
      <c r="P1128" s="253"/>
      <c r="Q1128" s="253"/>
      <c r="R1128" s="253"/>
      <c r="S1128" s="253"/>
      <c r="EH1128" s="348"/>
      <c r="HF1128" s="349"/>
      <c r="HG1128" s="350"/>
      <c r="IU1128" s="349">
        <v>36.46</v>
      </c>
      <c r="IV1128" s="351">
        <f>36.46*1.045</f>
        <v>38.1</v>
      </c>
    </row>
    <row r="1129" spans="1:256" s="347" customFormat="1" ht="21.75" hidden="1" customHeight="1" x14ac:dyDescent="0.2">
      <c r="A1129" s="404" t="s">
        <v>580</v>
      </c>
      <c r="B1129" s="397" t="s">
        <v>1495</v>
      </c>
      <c r="C1129" s="379" t="s">
        <v>1385</v>
      </c>
      <c r="D1129" s="263">
        <f>7.87*1.04</f>
        <v>8.18</v>
      </c>
      <c r="E1129" s="96">
        <f t="shared" si="62"/>
        <v>1.64</v>
      </c>
      <c r="F1129" s="154">
        <f t="shared" si="63"/>
        <v>9.82</v>
      </c>
      <c r="G1129" s="226"/>
      <c r="H1129" s="253"/>
      <c r="I1129" s="253"/>
      <c r="J1129" s="253"/>
      <c r="K1129" s="253"/>
      <c r="L1129" s="253"/>
      <c r="M1129" s="253"/>
      <c r="N1129" s="253"/>
      <c r="O1129" s="253"/>
      <c r="P1129" s="253"/>
      <c r="Q1129" s="253"/>
      <c r="R1129" s="253"/>
      <c r="S1129" s="253"/>
      <c r="EH1129" s="348"/>
      <c r="HF1129" s="349"/>
      <c r="HG1129" s="350"/>
      <c r="IU1129" s="349">
        <v>7.24</v>
      </c>
      <c r="IV1129" s="351">
        <f>7.24*1.045</f>
        <v>7.57</v>
      </c>
    </row>
    <row r="1130" spans="1:256" s="347" customFormat="1" ht="34.5" hidden="1" customHeight="1" x14ac:dyDescent="0.2">
      <c r="A1130" s="404" t="s">
        <v>582</v>
      </c>
      <c r="B1130" s="178" t="s">
        <v>1496</v>
      </c>
      <c r="C1130" s="379" t="s">
        <v>1385</v>
      </c>
      <c r="D1130" s="263">
        <f>21.25*1.04</f>
        <v>22.1</v>
      </c>
      <c r="E1130" s="96">
        <f t="shared" si="62"/>
        <v>4.42</v>
      </c>
      <c r="F1130" s="154">
        <f t="shared" si="63"/>
        <v>26.52</v>
      </c>
      <c r="G1130" s="226"/>
      <c r="H1130" s="253"/>
      <c r="I1130" s="253"/>
      <c r="J1130" s="253"/>
      <c r="K1130" s="253"/>
      <c r="L1130" s="253"/>
      <c r="M1130" s="253"/>
      <c r="N1130" s="253"/>
      <c r="O1130" s="253"/>
      <c r="P1130" s="253"/>
      <c r="Q1130" s="253"/>
      <c r="R1130" s="253"/>
      <c r="S1130" s="253"/>
      <c r="EH1130" s="348"/>
      <c r="HF1130" s="349"/>
      <c r="HG1130" s="350"/>
      <c r="IU1130" s="349">
        <v>19.55</v>
      </c>
      <c r="IV1130" s="351">
        <f>19.55*1.045</f>
        <v>20.43</v>
      </c>
    </row>
    <row r="1131" spans="1:256" s="347" customFormat="1" ht="15.75" hidden="1" x14ac:dyDescent="0.2">
      <c r="A1131" s="404" t="s">
        <v>584</v>
      </c>
      <c r="B1131" s="178" t="s">
        <v>1497</v>
      </c>
      <c r="C1131" s="379" t="s">
        <v>1385</v>
      </c>
      <c r="D1131" s="263">
        <f>18.38*1.04</f>
        <v>19.12</v>
      </c>
      <c r="E1131" s="96">
        <f t="shared" si="62"/>
        <v>3.82</v>
      </c>
      <c r="F1131" s="154">
        <f t="shared" si="63"/>
        <v>22.94</v>
      </c>
      <c r="G1131" s="226"/>
      <c r="H1131" s="253"/>
      <c r="I1131" s="253"/>
      <c r="J1131" s="253"/>
      <c r="K1131" s="253"/>
      <c r="L1131" s="253"/>
      <c r="M1131" s="253"/>
      <c r="N1131" s="253"/>
      <c r="O1131" s="253"/>
      <c r="P1131" s="253"/>
      <c r="Q1131" s="253"/>
      <c r="R1131" s="253"/>
      <c r="S1131" s="253"/>
      <c r="EH1131" s="348"/>
      <c r="HF1131" s="349"/>
      <c r="HG1131" s="350"/>
      <c r="IU1131" s="349">
        <v>16.91</v>
      </c>
      <c r="IV1131" s="351">
        <f>16.91*1.045</f>
        <v>17.670000000000002</v>
      </c>
    </row>
    <row r="1132" spans="1:256" s="347" customFormat="1" ht="15.75" hidden="1" x14ac:dyDescent="0.2">
      <c r="A1132" s="404" t="s">
        <v>586</v>
      </c>
      <c r="B1132" s="178" t="s">
        <v>1498</v>
      </c>
      <c r="C1132" s="379" t="s">
        <v>1385</v>
      </c>
      <c r="D1132" s="263">
        <f>24.1*1.04</f>
        <v>25.06</v>
      </c>
      <c r="E1132" s="96">
        <f t="shared" si="62"/>
        <v>5.01</v>
      </c>
      <c r="F1132" s="154">
        <f t="shared" si="63"/>
        <v>30.07</v>
      </c>
      <c r="G1132" s="226"/>
      <c r="H1132" s="253"/>
      <c r="I1132" s="253"/>
      <c r="J1132" s="253"/>
      <c r="K1132" s="253"/>
      <c r="L1132" s="253"/>
      <c r="M1132" s="253"/>
      <c r="N1132" s="253"/>
      <c r="O1132" s="253"/>
      <c r="P1132" s="253"/>
      <c r="Q1132" s="253"/>
      <c r="R1132" s="253"/>
      <c r="S1132" s="253"/>
      <c r="EH1132" s="348"/>
      <c r="HF1132" s="349"/>
      <c r="HG1132" s="350"/>
      <c r="IU1132" s="349">
        <v>22.17</v>
      </c>
      <c r="IV1132" s="351">
        <f>22.17*1.045</f>
        <v>23.17</v>
      </c>
    </row>
    <row r="1133" spans="1:256" s="347" customFormat="1" ht="15.75" hidden="1" x14ac:dyDescent="0.2">
      <c r="A1133" s="404" t="s">
        <v>588</v>
      </c>
      <c r="B1133" s="178" t="s">
        <v>1499</v>
      </c>
      <c r="C1133" s="379" t="s">
        <v>1385</v>
      </c>
      <c r="D1133" s="263">
        <f>39.62*1.04</f>
        <v>41.2</v>
      </c>
      <c r="E1133" s="96">
        <f t="shared" si="62"/>
        <v>8.24</v>
      </c>
      <c r="F1133" s="154">
        <f t="shared" si="63"/>
        <v>49.44</v>
      </c>
      <c r="G1133" s="226"/>
      <c r="H1133" s="253"/>
      <c r="I1133" s="253"/>
      <c r="J1133" s="253"/>
      <c r="K1133" s="253"/>
      <c r="L1133" s="253"/>
      <c r="M1133" s="253"/>
      <c r="N1133" s="253"/>
      <c r="O1133" s="253"/>
      <c r="P1133" s="253"/>
      <c r="Q1133" s="253"/>
      <c r="R1133" s="253"/>
      <c r="S1133" s="253"/>
      <c r="EH1133" s="348"/>
      <c r="HF1133" s="349"/>
      <c r="HG1133" s="350"/>
      <c r="IU1133" s="349">
        <v>36.46</v>
      </c>
      <c r="IV1133" s="351">
        <f>36.46*1.045</f>
        <v>38.1</v>
      </c>
    </row>
    <row r="1134" spans="1:256" s="347" customFormat="1" ht="15.75" hidden="1" x14ac:dyDescent="0.2">
      <c r="A1134" s="404" t="s">
        <v>590</v>
      </c>
      <c r="B1134" s="178" t="s">
        <v>1500</v>
      </c>
      <c r="C1134" s="379" t="s">
        <v>1385</v>
      </c>
      <c r="D1134" s="263">
        <f>90.95*1.04</f>
        <v>94.59</v>
      </c>
      <c r="E1134" s="96">
        <f t="shared" si="62"/>
        <v>18.920000000000002</v>
      </c>
      <c r="F1134" s="154">
        <f t="shared" si="63"/>
        <v>113.51</v>
      </c>
      <c r="G1134" s="226"/>
      <c r="H1134" s="253"/>
      <c r="I1134" s="253"/>
      <c r="J1134" s="253"/>
      <c r="K1134" s="253"/>
      <c r="L1134" s="253"/>
      <c r="M1134" s="253"/>
      <c r="N1134" s="253"/>
      <c r="O1134" s="253"/>
      <c r="P1134" s="253"/>
      <c r="Q1134" s="253"/>
      <c r="R1134" s="253"/>
      <c r="S1134" s="253"/>
      <c r="EH1134" s="348"/>
      <c r="HF1134" s="349"/>
      <c r="HG1134" s="350"/>
      <c r="IU1134" s="349">
        <v>83.68</v>
      </c>
      <c r="IV1134" s="351">
        <f>83.68*1.045</f>
        <v>87.45</v>
      </c>
    </row>
    <row r="1135" spans="1:256" s="347" customFormat="1" ht="15.75" hidden="1" x14ac:dyDescent="0.2">
      <c r="A1135" s="404" t="s">
        <v>592</v>
      </c>
      <c r="B1135" s="178" t="s">
        <v>1501</v>
      </c>
      <c r="C1135" s="379" t="s">
        <v>1385</v>
      </c>
      <c r="D1135" s="263">
        <f>121.25*1.04</f>
        <v>126.1</v>
      </c>
      <c r="E1135" s="96">
        <f t="shared" si="62"/>
        <v>25.22</v>
      </c>
      <c r="F1135" s="154">
        <f>D1135+E1135</f>
        <v>151.32</v>
      </c>
      <c r="G1135" s="226"/>
      <c r="H1135" s="253"/>
      <c r="I1135" s="253"/>
      <c r="J1135" s="253"/>
      <c r="K1135" s="253"/>
      <c r="L1135" s="253"/>
      <c r="M1135" s="253"/>
      <c r="N1135" s="253"/>
      <c r="O1135" s="253"/>
      <c r="P1135" s="253"/>
      <c r="Q1135" s="253"/>
      <c r="R1135" s="253"/>
      <c r="S1135" s="253"/>
      <c r="EH1135" s="348"/>
      <c r="HF1135" s="349"/>
      <c r="HG1135" s="350"/>
      <c r="IU1135" s="349">
        <v>111.57</v>
      </c>
      <c r="IV1135" s="351">
        <f>111.57*1.045</f>
        <v>116.59</v>
      </c>
    </row>
    <row r="1136" spans="1:256" s="347" customFormat="1" ht="15.75" hidden="1" x14ac:dyDescent="0.2">
      <c r="A1136" s="404" t="s">
        <v>594</v>
      </c>
      <c r="B1136" s="178" t="s">
        <v>1502</v>
      </c>
      <c r="C1136" s="379" t="s">
        <v>1385</v>
      </c>
      <c r="D1136" s="263">
        <f>10.75*1.04</f>
        <v>11.18</v>
      </c>
      <c r="E1136" s="96">
        <f t="shared" si="62"/>
        <v>2.2400000000000002</v>
      </c>
      <c r="F1136" s="154">
        <f t="shared" si="63"/>
        <v>13.42</v>
      </c>
      <c r="G1136" s="226"/>
      <c r="H1136" s="253"/>
      <c r="I1136" s="253"/>
      <c r="J1136" s="253"/>
      <c r="K1136" s="253"/>
      <c r="L1136" s="253"/>
      <c r="M1136" s="253"/>
      <c r="N1136" s="253"/>
      <c r="O1136" s="253"/>
      <c r="P1136" s="253"/>
      <c r="Q1136" s="253"/>
      <c r="R1136" s="253"/>
      <c r="S1136" s="253"/>
      <c r="EH1136" s="348"/>
      <c r="HF1136" s="349"/>
      <c r="HG1136" s="350"/>
      <c r="IU1136" s="349">
        <v>9.89</v>
      </c>
      <c r="IV1136" s="351">
        <f>9.89*1.045</f>
        <v>10.34</v>
      </c>
    </row>
    <row r="1137" spans="1:256" s="347" customFormat="1" ht="52.5" hidden="1" customHeight="1" x14ac:dyDescent="0.2">
      <c r="A1137" s="404" t="s">
        <v>596</v>
      </c>
      <c r="B1137" s="178" t="s">
        <v>1503</v>
      </c>
      <c r="C1137" s="379" t="s">
        <v>1385</v>
      </c>
      <c r="D1137" s="263">
        <f>10.75*1.04</f>
        <v>11.18</v>
      </c>
      <c r="E1137" s="96">
        <f t="shared" si="62"/>
        <v>2.2400000000000002</v>
      </c>
      <c r="F1137" s="154">
        <f t="shared" si="63"/>
        <v>13.42</v>
      </c>
      <c r="G1137" s="226"/>
      <c r="H1137" s="253"/>
      <c r="I1137" s="253"/>
      <c r="J1137" s="253"/>
      <c r="K1137" s="253"/>
      <c r="L1137" s="253"/>
      <c r="M1137" s="253"/>
      <c r="N1137" s="253"/>
      <c r="O1137" s="253"/>
      <c r="P1137" s="253"/>
      <c r="Q1137" s="253"/>
      <c r="R1137" s="253"/>
      <c r="S1137" s="253"/>
      <c r="EH1137" s="348"/>
      <c r="HF1137" s="349"/>
      <c r="HG1137" s="350"/>
      <c r="IU1137" s="349">
        <v>9.89</v>
      </c>
      <c r="IV1137" s="351">
        <f>9.89*1.045</f>
        <v>10.34</v>
      </c>
    </row>
    <row r="1138" spans="1:256" s="347" customFormat="1" ht="33.75" hidden="1" customHeight="1" x14ac:dyDescent="0.2">
      <c r="A1138" s="404" t="s">
        <v>598</v>
      </c>
      <c r="B1138" s="178" t="s">
        <v>1504</v>
      </c>
      <c r="C1138" s="379" t="s">
        <v>1385</v>
      </c>
      <c r="D1138" s="263">
        <f>17.66*1.04</f>
        <v>18.37</v>
      </c>
      <c r="E1138" s="96">
        <f t="shared" si="62"/>
        <v>3.67</v>
      </c>
      <c r="F1138" s="154">
        <f t="shared" si="63"/>
        <v>22.04</v>
      </c>
      <c r="G1138" s="226"/>
      <c r="H1138" s="253"/>
      <c r="I1138" s="253"/>
      <c r="J1138" s="253"/>
      <c r="K1138" s="253"/>
      <c r="L1138" s="253"/>
      <c r="M1138" s="253"/>
      <c r="N1138" s="253"/>
      <c r="O1138" s="253"/>
      <c r="P1138" s="253"/>
      <c r="Q1138" s="253"/>
      <c r="R1138" s="253"/>
      <c r="S1138" s="253"/>
      <c r="EH1138" s="348"/>
      <c r="HF1138" s="349"/>
      <c r="HG1138" s="350"/>
      <c r="IU1138" s="349">
        <v>16.25</v>
      </c>
      <c r="IV1138" s="351">
        <f>16.25*1.045</f>
        <v>16.98</v>
      </c>
    </row>
    <row r="1139" spans="1:256" s="347" customFormat="1" ht="34.5" hidden="1" customHeight="1" x14ac:dyDescent="0.2">
      <c r="A1139" s="404" t="s">
        <v>600</v>
      </c>
      <c r="B1139" s="178" t="s">
        <v>1505</v>
      </c>
      <c r="C1139" s="379" t="s">
        <v>1385</v>
      </c>
      <c r="D1139" s="263">
        <f>10.75*1.04</f>
        <v>11.18</v>
      </c>
      <c r="E1139" s="96">
        <f t="shared" si="62"/>
        <v>2.2400000000000002</v>
      </c>
      <c r="F1139" s="154">
        <f t="shared" si="63"/>
        <v>13.42</v>
      </c>
      <c r="G1139" s="226"/>
      <c r="H1139" s="253"/>
      <c r="I1139" s="253"/>
      <c r="J1139" s="253"/>
      <c r="K1139" s="253"/>
      <c r="L1139" s="253"/>
      <c r="M1139" s="253"/>
      <c r="N1139" s="253"/>
      <c r="O1139" s="253"/>
      <c r="P1139" s="253"/>
      <c r="Q1139" s="253"/>
      <c r="R1139" s="253"/>
      <c r="S1139" s="253"/>
      <c r="EH1139" s="348"/>
      <c r="HF1139" s="349"/>
      <c r="HG1139" s="350"/>
      <c r="IU1139" s="349">
        <v>9.89</v>
      </c>
      <c r="IV1139" s="351">
        <f>9.89*1.045</f>
        <v>10.34</v>
      </c>
    </row>
    <row r="1140" spans="1:256" s="347" customFormat="1" ht="19.5" hidden="1" customHeight="1" x14ac:dyDescent="0.2">
      <c r="A1140" s="404" t="s">
        <v>602</v>
      </c>
      <c r="B1140" s="430" t="s">
        <v>1506</v>
      </c>
      <c r="C1140" s="430"/>
      <c r="D1140" s="430"/>
      <c r="E1140" s="430"/>
      <c r="F1140" s="430"/>
      <c r="G1140" s="226"/>
      <c r="H1140" s="253"/>
      <c r="I1140" s="253"/>
      <c r="J1140" s="253"/>
      <c r="K1140" s="253"/>
      <c r="L1140" s="253"/>
      <c r="M1140" s="253"/>
      <c r="N1140" s="253"/>
      <c r="O1140" s="253"/>
      <c r="P1140" s="253"/>
      <c r="Q1140" s="253"/>
      <c r="R1140" s="253"/>
      <c r="S1140" s="253"/>
      <c r="EH1140" s="348"/>
      <c r="HG1140" s="350"/>
    </row>
    <row r="1141" spans="1:256" s="347" customFormat="1" ht="15.75" hidden="1" x14ac:dyDescent="0.2">
      <c r="A1141" s="404" t="s">
        <v>1507</v>
      </c>
      <c r="B1141" s="381" t="s">
        <v>1508</v>
      </c>
      <c r="C1141" s="379" t="s">
        <v>1509</v>
      </c>
      <c r="D1141" s="263">
        <f>7.16*1.04</f>
        <v>7.45</v>
      </c>
      <c r="E1141" s="96">
        <f t="shared" ref="E1141:E1152" si="64">D1141*20%</f>
        <v>1.49</v>
      </c>
      <c r="F1141" s="154">
        <f t="shared" ref="F1141:F1152" si="65">D1141+E1141</f>
        <v>8.94</v>
      </c>
      <c r="G1141" s="226"/>
      <c r="H1141" s="253"/>
      <c r="I1141" s="253"/>
      <c r="J1141" s="253"/>
      <c r="K1141" s="253"/>
      <c r="L1141" s="253"/>
      <c r="M1141" s="253"/>
      <c r="N1141" s="253"/>
      <c r="O1141" s="253"/>
      <c r="P1141" s="253"/>
      <c r="Q1141" s="253"/>
      <c r="R1141" s="253"/>
      <c r="S1141" s="253"/>
      <c r="EH1141" s="348"/>
      <c r="HF1141" s="349"/>
      <c r="HG1141" s="350"/>
      <c r="IU1141" s="349">
        <v>6.58</v>
      </c>
      <c r="IV1141" s="351">
        <f>6.58*1.045</f>
        <v>6.88</v>
      </c>
    </row>
    <row r="1142" spans="1:256" s="347" customFormat="1" ht="15.75" hidden="1" x14ac:dyDescent="0.2">
      <c r="A1142" s="404" t="s">
        <v>1510</v>
      </c>
      <c r="B1142" s="381" t="s">
        <v>1511</v>
      </c>
      <c r="C1142" s="379" t="s">
        <v>1509</v>
      </c>
      <c r="D1142" s="263">
        <f>7.87*1.04</f>
        <v>8.18</v>
      </c>
      <c r="E1142" s="96">
        <f t="shared" si="64"/>
        <v>1.64</v>
      </c>
      <c r="F1142" s="154">
        <f t="shared" si="65"/>
        <v>9.82</v>
      </c>
      <c r="G1142" s="226"/>
      <c r="H1142" s="253"/>
      <c r="I1142" s="253"/>
      <c r="J1142" s="253"/>
      <c r="K1142" s="253"/>
      <c r="L1142" s="253"/>
      <c r="M1142" s="253"/>
      <c r="N1142" s="253"/>
      <c r="O1142" s="253"/>
      <c r="P1142" s="253"/>
      <c r="Q1142" s="253"/>
      <c r="R1142" s="253"/>
      <c r="S1142" s="253"/>
      <c r="EH1142" s="348"/>
      <c r="HF1142" s="349"/>
      <c r="HG1142" s="350"/>
      <c r="IU1142" s="349">
        <v>7.24</v>
      </c>
      <c r="IV1142" s="351">
        <f>7.24*1.045</f>
        <v>7.57</v>
      </c>
    </row>
    <row r="1143" spans="1:256" s="347" customFormat="1" ht="15.75" hidden="1" x14ac:dyDescent="0.2">
      <c r="A1143" s="404" t="s">
        <v>1512</v>
      </c>
      <c r="B1143" s="381" t="s">
        <v>1513</v>
      </c>
      <c r="C1143" s="379" t="s">
        <v>1509</v>
      </c>
      <c r="D1143" s="263">
        <f>9.32*1.04</f>
        <v>9.69</v>
      </c>
      <c r="E1143" s="96">
        <f t="shared" si="64"/>
        <v>1.94</v>
      </c>
      <c r="F1143" s="154">
        <f t="shared" si="65"/>
        <v>11.63</v>
      </c>
      <c r="G1143" s="226"/>
      <c r="H1143" s="253"/>
      <c r="I1143" s="253"/>
      <c r="J1143" s="253"/>
      <c r="K1143" s="253"/>
      <c r="L1143" s="253"/>
      <c r="M1143" s="253"/>
      <c r="N1143" s="253"/>
      <c r="O1143" s="253"/>
      <c r="P1143" s="253"/>
      <c r="Q1143" s="253"/>
      <c r="R1143" s="253"/>
      <c r="S1143" s="253"/>
      <c r="EH1143" s="348"/>
      <c r="HF1143" s="349"/>
      <c r="HG1143" s="350"/>
      <c r="IU1143" s="349">
        <v>8.57</v>
      </c>
      <c r="IV1143" s="351">
        <f>8.57*1.045</f>
        <v>8.9600000000000009</v>
      </c>
    </row>
    <row r="1144" spans="1:256" s="347" customFormat="1" ht="15.75" hidden="1" x14ac:dyDescent="0.2">
      <c r="A1144" s="404" t="s">
        <v>1514</v>
      </c>
      <c r="B1144" s="381" t="s">
        <v>1515</v>
      </c>
      <c r="C1144" s="379" t="s">
        <v>1509</v>
      </c>
      <c r="D1144" s="263">
        <f>10.04*1.04</f>
        <v>10.44</v>
      </c>
      <c r="E1144" s="96">
        <f t="shared" si="64"/>
        <v>2.09</v>
      </c>
      <c r="F1144" s="154">
        <f t="shared" si="65"/>
        <v>12.53</v>
      </c>
      <c r="G1144" s="226"/>
      <c r="H1144" s="253"/>
      <c r="I1144" s="253"/>
      <c r="J1144" s="253"/>
      <c r="K1144" s="253"/>
      <c r="L1144" s="253"/>
      <c r="M1144" s="253"/>
      <c r="N1144" s="253"/>
      <c r="O1144" s="253"/>
      <c r="P1144" s="253"/>
      <c r="Q1144" s="253"/>
      <c r="R1144" s="253"/>
      <c r="S1144" s="253"/>
      <c r="EH1144" s="348"/>
      <c r="HF1144" s="349"/>
      <c r="HG1144" s="350"/>
      <c r="IU1144" s="349">
        <v>9.23</v>
      </c>
      <c r="IV1144" s="351">
        <f>9.23*1.045</f>
        <v>9.65</v>
      </c>
    </row>
    <row r="1145" spans="1:256" s="347" customFormat="1" ht="15.75" hidden="1" x14ac:dyDescent="0.2">
      <c r="A1145" s="404" t="s">
        <v>1516</v>
      </c>
      <c r="B1145" s="381" t="s">
        <v>1517</v>
      </c>
      <c r="C1145" s="379" t="s">
        <v>1509</v>
      </c>
      <c r="D1145" s="263">
        <f>10.75*1.04</f>
        <v>11.18</v>
      </c>
      <c r="E1145" s="96">
        <f t="shared" si="64"/>
        <v>2.2400000000000002</v>
      </c>
      <c r="F1145" s="154">
        <f t="shared" si="65"/>
        <v>13.42</v>
      </c>
      <c r="G1145" s="226"/>
      <c r="H1145" s="253"/>
      <c r="I1145" s="253"/>
      <c r="J1145" s="253"/>
      <c r="K1145" s="253"/>
      <c r="L1145" s="253"/>
      <c r="M1145" s="253"/>
      <c r="N1145" s="253"/>
      <c r="O1145" s="253"/>
      <c r="P1145" s="253"/>
      <c r="Q1145" s="253"/>
      <c r="R1145" s="253"/>
      <c r="S1145" s="253"/>
      <c r="EH1145" s="348"/>
      <c r="HF1145" s="349"/>
      <c r="HG1145" s="350"/>
      <c r="IU1145" s="349">
        <v>9.89</v>
      </c>
      <c r="IV1145" s="351">
        <f>9.89*1.045</f>
        <v>10.34</v>
      </c>
    </row>
    <row r="1146" spans="1:256" s="347" customFormat="1" ht="15.75" hidden="1" x14ac:dyDescent="0.2">
      <c r="A1146" s="404" t="s">
        <v>604</v>
      </c>
      <c r="B1146" s="381" t="s">
        <v>1518</v>
      </c>
      <c r="C1146" s="379" t="s">
        <v>1509</v>
      </c>
      <c r="D1146" s="263">
        <f>2.38*1.04</f>
        <v>2.48</v>
      </c>
      <c r="E1146" s="96">
        <f t="shared" si="64"/>
        <v>0.5</v>
      </c>
      <c r="F1146" s="154">
        <f t="shared" si="65"/>
        <v>2.98</v>
      </c>
      <c r="G1146" s="226"/>
      <c r="H1146" s="253"/>
      <c r="I1146" s="253"/>
      <c r="J1146" s="253"/>
      <c r="K1146" s="253"/>
      <c r="L1146" s="253"/>
      <c r="M1146" s="253"/>
      <c r="N1146" s="253"/>
      <c r="O1146" s="253"/>
      <c r="P1146" s="253"/>
      <c r="Q1146" s="253"/>
      <c r="R1146" s="253"/>
      <c r="S1146" s="253"/>
      <c r="EH1146" s="348"/>
      <c r="HF1146" s="349"/>
      <c r="HG1146" s="350"/>
      <c r="IU1146" s="349">
        <v>2.19</v>
      </c>
      <c r="IV1146" s="351">
        <f>2.19*1.045</f>
        <v>2.29</v>
      </c>
    </row>
    <row r="1147" spans="1:256" s="347" customFormat="1" ht="55.5" hidden="1" customHeight="1" x14ac:dyDescent="0.2">
      <c r="A1147" s="404" t="s">
        <v>606</v>
      </c>
      <c r="B1147" s="397" t="s">
        <v>1519</v>
      </c>
      <c r="C1147" s="379" t="s">
        <v>116</v>
      </c>
      <c r="D1147" s="263">
        <f>167.1*1.04</f>
        <v>173.78</v>
      </c>
      <c r="E1147" s="96">
        <f t="shared" si="64"/>
        <v>34.76</v>
      </c>
      <c r="F1147" s="154">
        <f t="shared" si="65"/>
        <v>208.54</v>
      </c>
      <c r="G1147" s="226"/>
      <c r="H1147" s="253"/>
      <c r="I1147" s="253"/>
      <c r="J1147" s="253"/>
      <c r="K1147" s="253"/>
      <c r="L1147" s="253"/>
      <c r="M1147" s="253"/>
      <c r="N1147" s="253"/>
      <c r="O1147" s="253"/>
      <c r="P1147" s="253"/>
      <c r="Q1147" s="253"/>
      <c r="R1147" s="253"/>
      <c r="S1147" s="253"/>
      <c r="EH1147" s="348"/>
      <c r="HF1147" s="349"/>
      <c r="HG1147" s="350"/>
      <c r="IU1147" s="349">
        <v>153.75</v>
      </c>
      <c r="IV1147" s="351">
        <f>153.75*1.045</f>
        <v>160.66999999999999</v>
      </c>
    </row>
    <row r="1148" spans="1:256" s="347" customFormat="1" ht="26.25" hidden="1" customHeight="1" x14ac:dyDescent="0.2">
      <c r="A1148" s="404" t="s">
        <v>607</v>
      </c>
      <c r="B1148" s="390" t="s">
        <v>1520</v>
      </c>
      <c r="C1148" s="379" t="s">
        <v>1385</v>
      </c>
      <c r="D1148" s="263">
        <f>12.17*1.04</f>
        <v>12.66</v>
      </c>
      <c r="E1148" s="96">
        <f t="shared" si="64"/>
        <v>2.5299999999999998</v>
      </c>
      <c r="F1148" s="154">
        <f t="shared" si="65"/>
        <v>15.19</v>
      </c>
      <c r="G1148" s="226"/>
      <c r="H1148" s="253"/>
      <c r="I1148" s="253"/>
      <c r="J1148" s="253"/>
      <c r="K1148" s="253"/>
      <c r="L1148" s="253"/>
      <c r="M1148" s="253"/>
      <c r="N1148" s="253"/>
      <c r="O1148" s="253"/>
      <c r="P1148" s="253"/>
      <c r="Q1148" s="253"/>
      <c r="R1148" s="253"/>
      <c r="S1148" s="253"/>
      <c r="EH1148" s="348"/>
      <c r="HF1148" s="349"/>
      <c r="HG1148" s="350"/>
      <c r="IU1148" s="349">
        <v>11.2</v>
      </c>
      <c r="IV1148" s="351">
        <f>11.2*1.045</f>
        <v>11.7</v>
      </c>
    </row>
    <row r="1149" spans="1:256" s="347" customFormat="1" ht="18.75" hidden="1" customHeight="1" x14ac:dyDescent="0.2">
      <c r="A1149" s="404" t="s">
        <v>609</v>
      </c>
      <c r="B1149" s="178" t="s">
        <v>1521</v>
      </c>
      <c r="C1149" s="379" t="s">
        <v>1385</v>
      </c>
      <c r="D1149" s="263">
        <f>22.92*1.04</f>
        <v>23.84</v>
      </c>
      <c r="E1149" s="96">
        <f t="shared" si="64"/>
        <v>4.7699999999999996</v>
      </c>
      <c r="F1149" s="154">
        <f t="shared" si="65"/>
        <v>28.61</v>
      </c>
      <c r="G1149" s="226"/>
      <c r="H1149" s="253"/>
      <c r="I1149" s="253"/>
      <c r="J1149" s="253"/>
      <c r="K1149" s="253"/>
      <c r="L1149" s="253"/>
      <c r="M1149" s="253"/>
      <c r="N1149" s="253"/>
      <c r="O1149" s="253"/>
      <c r="P1149" s="253"/>
      <c r="Q1149" s="253"/>
      <c r="R1149" s="253"/>
      <c r="S1149" s="253"/>
      <c r="EH1149" s="348"/>
      <c r="HF1149" s="349"/>
      <c r="HG1149" s="350"/>
      <c r="IU1149" s="349">
        <v>21.09</v>
      </c>
      <c r="IV1149" s="351">
        <f>21.09*1.045</f>
        <v>22.04</v>
      </c>
    </row>
    <row r="1150" spans="1:256" s="347" customFormat="1" ht="16.5" hidden="1" customHeight="1" x14ac:dyDescent="0.2">
      <c r="A1150" s="404" t="s">
        <v>611</v>
      </c>
      <c r="B1150" s="178" t="s">
        <v>1522</v>
      </c>
      <c r="C1150" s="379" t="s">
        <v>1385</v>
      </c>
      <c r="D1150" s="263">
        <f>22.92*1.04</f>
        <v>23.84</v>
      </c>
      <c r="E1150" s="96">
        <f t="shared" si="64"/>
        <v>4.7699999999999996</v>
      </c>
      <c r="F1150" s="154">
        <f t="shared" si="65"/>
        <v>28.61</v>
      </c>
      <c r="G1150" s="226"/>
      <c r="H1150" s="253"/>
      <c r="I1150" s="253"/>
      <c r="J1150" s="253"/>
      <c r="K1150" s="253"/>
      <c r="L1150" s="253"/>
      <c r="M1150" s="253"/>
      <c r="N1150" s="253"/>
      <c r="O1150" s="253"/>
      <c r="P1150" s="253"/>
      <c r="Q1150" s="253"/>
      <c r="R1150" s="253"/>
      <c r="S1150" s="253"/>
      <c r="EH1150" s="348"/>
      <c r="HF1150" s="349"/>
      <c r="HG1150" s="350"/>
      <c r="IU1150" s="349">
        <v>21.09</v>
      </c>
      <c r="IV1150" s="351">
        <f>21.09*1.045</f>
        <v>22.04</v>
      </c>
    </row>
    <row r="1151" spans="1:256" s="347" customFormat="1" ht="18" hidden="1" customHeight="1" x14ac:dyDescent="0.2">
      <c r="A1151" s="404" t="s">
        <v>613</v>
      </c>
      <c r="B1151" s="178" t="s">
        <v>1523</v>
      </c>
      <c r="C1151" s="379" t="s">
        <v>1385</v>
      </c>
      <c r="D1151" s="263">
        <f>22.92*1.04</f>
        <v>23.84</v>
      </c>
      <c r="E1151" s="96">
        <f t="shared" si="64"/>
        <v>4.7699999999999996</v>
      </c>
      <c r="F1151" s="154">
        <f t="shared" si="65"/>
        <v>28.61</v>
      </c>
      <c r="G1151" s="226"/>
      <c r="H1151" s="253"/>
      <c r="I1151" s="253"/>
      <c r="J1151" s="253"/>
      <c r="K1151" s="253"/>
      <c r="L1151" s="253"/>
      <c r="M1151" s="253"/>
      <c r="N1151" s="253"/>
      <c r="O1151" s="253"/>
      <c r="P1151" s="253"/>
      <c r="Q1151" s="253"/>
      <c r="R1151" s="253"/>
      <c r="S1151" s="253"/>
      <c r="EH1151" s="348"/>
      <c r="HF1151" s="349"/>
      <c r="HG1151" s="350"/>
      <c r="IU1151" s="349">
        <v>21.09</v>
      </c>
      <c r="IV1151" s="351">
        <f>21.09*1.045</f>
        <v>22.04</v>
      </c>
    </row>
    <row r="1152" spans="1:256" s="347" customFormat="1" ht="19.5" hidden="1" customHeight="1" x14ac:dyDescent="0.2">
      <c r="A1152" s="404" t="s">
        <v>615</v>
      </c>
      <c r="B1152" s="178" t="s">
        <v>1524</v>
      </c>
      <c r="C1152" s="379" t="s">
        <v>1385</v>
      </c>
      <c r="D1152" s="263">
        <f>22.92*1.04</f>
        <v>23.84</v>
      </c>
      <c r="E1152" s="96">
        <f t="shared" si="64"/>
        <v>4.7699999999999996</v>
      </c>
      <c r="F1152" s="154">
        <f t="shared" si="65"/>
        <v>28.61</v>
      </c>
      <c r="G1152" s="226"/>
      <c r="H1152" s="253"/>
      <c r="I1152" s="253"/>
      <c r="J1152" s="253"/>
      <c r="K1152" s="253"/>
      <c r="L1152" s="253"/>
      <c r="M1152" s="253"/>
      <c r="N1152" s="253"/>
      <c r="O1152" s="253"/>
      <c r="P1152" s="253"/>
      <c r="Q1152" s="253"/>
      <c r="R1152" s="253"/>
      <c r="S1152" s="253"/>
      <c r="EH1152" s="348"/>
      <c r="HF1152" s="349"/>
      <c r="HG1152" s="350"/>
      <c r="IU1152" s="349">
        <v>21.09</v>
      </c>
      <c r="IV1152" s="351">
        <f>21.09*1.045</f>
        <v>22.04</v>
      </c>
    </row>
    <row r="1153" spans="1:256" s="347" customFormat="1" ht="16.5" hidden="1" customHeight="1" x14ac:dyDescent="0.2">
      <c r="A1153" s="404" t="s">
        <v>617</v>
      </c>
      <c r="B1153" s="432" t="s">
        <v>1525</v>
      </c>
      <c r="C1153" s="432"/>
      <c r="D1153" s="432"/>
      <c r="E1153" s="432"/>
      <c r="F1153" s="432"/>
      <c r="G1153" s="226"/>
      <c r="H1153" s="253"/>
      <c r="I1153" s="253"/>
      <c r="J1153" s="253"/>
      <c r="K1153" s="253"/>
      <c r="L1153" s="253"/>
      <c r="M1153" s="253"/>
      <c r="N1153" s="253"/>
      <c r="O1153" s="253"/>
      <c r="P1153" s="253"/>
      <c r="Q1153" s="253"/>
      <c r="R1153" s="253"/>
      <c r="S1153" s="253"/>
      <c r="EH1153" s="348"/>
      <c r="HG1153" s="350"/>
    </row>
    <row r="1154" spans="1:256" s="347" customFormat="1" ht="24" hidden="1" customHeight="1" x14ac:dyDescent="0.2">
      <c r="A1154" s="404" t="s">
        <v>1526</v>
      </c>
      <c r="B1154" s="179" t="s">
        <v>1436</v>
      </c>
      <c r="C1154" s="379" t="s">
        <v>116</v>
      </c>
      <c r="D1154" s="263">
        <f>22.92*1.04</f>
        <v>23.84</v>
      </c>
      <c r="E1154" s="96">
        <f>D1154*20%</f>
        <v>4.7699999999999996</v>
      </c>
      <c r="F1154" s="154">
        <f>D1154+E1154</f>
        <v>28.61</v>
      </c>
      <c r="G1154" s="226"/>
      <c r="H1154" s="253"/>
      <c r="I1154" s="253"/>
      <c r="J1154" s="253"/>
      <c r="K1154" s="253"/>
      <c r="L1154" s="253"/>
      <c r="M1154" s="253"/>
      <c r="N1154" s="253"/>
      <c r="O1154" s="253"/>
      <c r="P1154" s="253"/>
      <c r="Q1154" s="253"/>
      <c r="R1154" s="253"/>
      <c r="S1154" s="253"/>
      <c r="EH1154" s="348"/>
      <c r="HF1154" s="349"/>
      <c r="HG1154" s="350"/>
      <c r="IU1154" s="349">
        <v>21.09</v>
      </c>
      <c r="IV1154" s="351">
        <f>21.09*1.045</f>
        <v>22.04</v>
      </c>
    </row>
    <row r="1155" spans="1:256" s="347" customFormat="1" ht="21" hidden="1" customHeight="1" x14ac:dyDescent="0.2">
      <c r="A1155" s="404" t="s">
        <v>1527</v>
      </c>
      <c r="B1155" s="179" t="s">
        <v>1469</v>
      </c>
      <c r="C1155" s="379" t="s">
        <v>1385</v>
      </c>
      <c r="D1155" s="263">
        <f>38.91*1.04</f>
        <v>40.47</v>
      </c>
      <c r="E1155" s="96">
        <f>D1155*20%</f>
        <v>8.09</v>
      </c>
      <c r="F1155" s="154">
        <f>D1155+E1155</f>
        <v>48.56</v>
      </c>
      <c r="G1155" s="226"/>
      <c r="H1155" s="253"/>
      <c r="I1155" s="253"/>
      <c r="J1155" s="253"/>
      <c r="K1155" s="253"/>
      <c r="L1155" s="253"/>
      <c r="M1155" s="253"/>
      <c r="N1155" s="253"/>
      <c r="O1155" s="253"/>
      <c r="P1155" s="253"/>
      <c r="Q1155" s="253"/>
      <c r="R1155" s="253"/>
      <c r="S1155" s="253"/>
      <c r="EH1155" s="348"/>
      <c r="HF1155" s="349"/>
      <c r="HG1155" s="350"/>
      <c r="IU1155" s="349">
        <v>35.799999999999997</v>
      </c>
      <c r="IV1155" s="351">
        <f>35.8*1.045</f>
        <v>37.409999999999997</v>
      </c>
    </row>
    <row r="1156" spans="1:256" s="347" customFormat="1" ht="51.75" hidden="1" customHeight="1" x14ac:dyDescent="0.2">
      <c r="A1156" s="108" t="s">
        <v>31</v>
      </c>
      <c r="B1156" s="437" t="s">
        <v>1528</v>
      </c>
      <c r="C1156" s="437"/>
      <c r="D1156" s="437"/>
      <c r="E1156" s="437"/>
      <c r="F1156" s="437"/>
      <c r="G1156" s="226"/>
      <c r="H1156" s="253"/>
      <c r="I1156" s="253"/>
      <c r="J1156" s="253"/>
      <c r="K1156" s="253"/>
      <c r="L1156" s="253"/>
      <c r="M1156" s="253"/>
      <c r="N1156" s="253"/>
      <c r="O1156" s="253"/>
      <c r="P1156" s="253"/>
      <c r="Q1156" s="253"/>
      <c r="R1156" s="253"/>
      <c r="S1156" s="253"/>
      <c r="EH1156" s="348"/>
      <c r="HG1156" s="350"/>
    </row>
    <row r="1157" spans="1:256" s="347" customFormat="1" ht="21.75" hidden="1" customHeight="1" x14ac:dyDescent="0.2">
      <c r="A1157" s="404" t="s">
        <v>627</v>
      </c>
      <c r="B1157" s="179" t="s">
        <v>1529</v>
      </c>
      <c r="C1157" s="379" t="s">
        <v>1530</v>
      </c>
      <c r="D1157" s="263">
        <f>1.44*1.04</f>
        <v>1.5</v>
      </c>
      <c r="E1157" s="96">
        <f t="shared" ref="E1157:E1165" si="66">D1157*20%</f>
        <v>0.3</v>
      </c>
      <c r="F1157" s="154">
        <f t="shared" ref="F1157:F1163" si="67">D1157+E1157</f>
        <v>1.8</v>
      </c>
      <c r="G1157" s="226"/>
      <c r="H1157" s="253"/>
      <c r="I1157" s="253"/>
      <c r="J1157" s="253"/>
      <c r="K1157" s="253"/>
      <c r="L1157" s="253"/>
      <c r="M1157" s="253"/>
      <c r="N1157" s="253"/>
      <c r="O1157" s="253"/>
      <c r="P1157" s="253"/>
      <c r="Q1157" s="253"/>
      <c r="R1157" s="253"/>
      <c r="S1157" s="253"/>
      <c r="EH1157" s="348"/>
      <c r="HF1157" s="349"/>
      <c r="HG1157" s="350"/>
      <c r="IU1157" s="349">
        <v>1.32</v>
      </c>
      <c r="IV1157" s="351">
        <f>1.32*1.045</f>
        <v>1.38</v>
      </c>
    </row>
    <row r="1158" spans="1:256" s="347" customFormat="1" ht="42" hidden="1" customHeight="1" x14ac:dyDescent="0.2">
      <c r="A1158" s="404" t="s">
        <v>628</v>
      </c>
      <c r="B1158" s="392" t="s">
        <v>1531</v>
      </c>
      <c r="C1158" s="379" t="s">
        <v>202</v>
      </c>
      <c r="D1158" s="263">
        <f>0.17*1.04</f>
        <v>0.18</v>
      </c>
      <c r="E1158" s="96">
        <f t="shared" si="66"/>
        <v>0.04</v>
      </c>
      <c r="F1158" s="154">
        <f>D1158+E1158</f>
        <v>0.22</v>
      </c>
      <c r="G1158" s="226"/>
      <c r="H1158" s="253"/>
      <c r="I1158" s="253"/>
      <c r="J1158" s="253"/>
      <c r="K1158" s="253"/>
      <c r="L1158" s="253"/>
      <c r="M1158" s="253"/>
      <c r="N1158" s="253"/>
      <c r="O1158" s="253"/>
      <c r="P1158" s="253"/>
      <c r="Q1158" s="253"/>
      <c r="R1158" s="253"/>
      <c r="S1158" s="253"/>
      <c r="EH1158" s="348"/>
      <c r="HF1158" s="349"/>
      <c r="HG1158" s="350"/>
      <c r="IU1158" s="349">
        <v>0.15</v>
      </c>
      <c r="IV1158" s="351">
        <f>0.15*1.045</f>
        <v>0.16</v>
      </c>
    </row>
    <row r="1159" spans="1:256" s="347" customFormat="1" ht="20.25" hidden="1" customHeight="1" x14ac:dyDescent="0.2">
      <c r="A1159" s="404" t="s">
        <v>629</v>
      </c>
      <c r="B1159" s="179" t="s">
        <v>1532</v>
      </c>
      <c r="C1159" s="379" t="s">
        <v>202</v>
      </c>
      <c r="D1159" s="263">
        <f>0.14*1.04</f>
        <v>0.15</v>
      </c>
      <c r="E1159" s="96">
        <f t="shared" si="66"/>
        <v>0.03</v>
      </c>
      <c r="F1159" s="154">
        <f t="shared" si="67"/>
        <v>0.18</v>
      </c>
      <c r="G1159" s="226"/>
      <c r="H1159" s="253"/>
      <c r="I1159" s="253"/>
      <c r="J1159" s="253"/>
      <c r="K1159" s="253"/>
      <c r="L1159" s="253"/>
      <c r="M1159" s="253"/>
      <c r="N1159" s="253"/>
      <c r="O1159" s="253"/>
      <c r="P1159" s="253"/>
      <c r="Q1159" s="253"/>
      <c r="R1159" s="253"/>
      <c r="S1159" s="253"/>
      <c r="EH1159" s="348"/>
      <c r="HF1159" s="349"/>
      <c r="HG1159" s="350"/>
      <c r="IU1159" s="349">
        <v>0.12</v>
      </c>
      <c r="IV1159" s="351">
        <f>0.12*1.045</f>
        <v>0.13</v>
      </c>
    </row>
    <row r="1160" spans="1:256" s="347" customFormat="1" ht="21.75" hidden="1" customHeight="1" x14ac:dyDescent="0.2">
      <c r="A1160" s="404" t="s">
        <v>631</v>
      </c>
      <c r="B1160" s="179" t="s">
        <v>1533</v>
      </c>
      <c r="C1160" s="379" t="s">
        <v>1530</v>
      </c>
      <c r="D1160" s="263">
        <f>1.2*1.04</f>
        <v>1.25</v>
      </c>
      <c r="E1160" s="96">
        <f t="shared" si="66"/>
        <v>0.25</v>
      </c>
      <c r="F1160" s="154">
        <f t="shared" si="67"/>
        <v>1.5</v>
      </c>
      <c r="G1160" s="226"/>
      <c r="H1160" s="253"/>
      <c r="I1160" s="253"/>
      <c r="J1160" s="253"/>
      <c r="K1160" s="253"/>
      <c r="L1160" s="253"/>
      <c r="M1160" s="253"/>
      <c r="N1160" s="253"/>
      <c r="O1160" s="253"/>
      <c r="P1160" s="253"/>
      <c r="Q1160" s="253"/>
      <c r="R1160" s="253"/>
      <c r="S1160" s="253"/>
      <c r="EH1160" s="348"/>
      <c r="HF1160" s="349"/>
      <c r="HG1160" s="350"/>
      <c r="IU1160" s="349">
        <v>1.1000000000000001</v>
      </c>
      <c r="IV1160" s="351">
        <f>1.1*1.045</f>
        <v>1.1499999999999999</v>
      </c>
    </row>
    <row r="1161" spans="1:256" s="347" customFormat="1" ht="19.5" hidden="1" customHeight="1" x14ac:dyDescent="0.2">
      <c r="A1161" s="404" t="s">
        <v>633</v>
      </c>
      <c r="B1161" s="179" t="s">
        <v>1534</v>
      </c>
      <c r="C1161" s="379" t="s">
        <v>1530</v>
      </c>
      <c r="D1161" s="263">
        <f>2.38*1.04</f>
        <v>2.48</v>
      </c>
      <c r="E1161" s="96">
        <f t="shared" si="66"/>
        <v>0.5</v>
      </c>
      <c r="F1161" s="154">
        <f t="shared" si="67"/>
        <v>2.98</v>
      </c>
      <c r="G1161" s="226"/>
      <c r="H1161" s="253"/>
      <c r="I1161" s="253"/>
      <c r="J1161" s="253"/>
      <c r="K1161" s="253"/>
      <c r="L1161" s="253"/>
      <c r="M1161" s="253"/>
      <c r="N1161" s="253"/>
      <c r="O1161" s="253"/>
      <c r="P1161" s="253"/>
      <c r="Q1161" s="253"/>
      <c r="R1161" s="253"/>
      <c r="S1161" s="253"/>
      <c r="EH1161" s="348"/>
      <c r="HF1161" s="349"/>
      <c r="HG1161" s="350"/>
      <c r="IU1161" s="349">
        <v>2.19</v>
      </c>
      <c r="IV1161" s="351">
        <f>2.19*1.045</f>
        <v>2.29</v>
      </c>
    </row>
    <row r="1162" spans="1:256" s="347" customFormat="1" ht="19.5" hidden="1" customHeight="1" x14ac:dyDescent="0.2">
      <c r="A1162" s="404" t="s">
        <v>634</v>
      </c>
      <c r="B1162" s="179" t="s">
        <v>1535</v>
      </c>
      <c r="C1162" s="379" t="s">
        <v>1530</v>
      </c>
      <c r="D1162" s="263">
        <f>1.2*1.04</f>
        <v>1.25</v>
      </c>
      <c r="E1162" s="96">
        <f t="shared" si="66"/>
        <v>0.25</v>
      </c>
      <c r="F1162" s="154">
        <f t="shared" si="67"/>
        <v>1.5</v>
      </c>
      <c r="G1162" s="226"/>
      <c r="H1162" s="253"/>
      <c r="I1162" s="253"/>
      <c r="J1162" s="253"/>
      <c r="K1162" s="253"/>
      <c r="L1162" s="253"/>
      <c r="M1162" s="253"/>
      <c r="N1162" s="253"/>
      <c r="O1162" s="253"/>
      <c r="P1162" s="253"/>
      <c r="Q1162" s="253"/>
      <c r="R1162" s="253"/>
      <c r="S1162" s="253"/>
      <c r="EH1162" s="348"/>
      <c r="HF1162" s="349"/>
      <c r="HG1162" s="350"/>
      <c r="IU1162" s="349">
        <v>1.1000000000000001</v>
      </c>
      <c r="IV1162" s="351">
        <f>1.1*1.045</f>
        <v>1.1499999999999999</v>
      </c>
    </row>
    <row r="1163" spans="1:256" s="347" customFormat="1" ht="18" hidden="1" customHeight="1" x14ac:dyDescent="0.2">
      <c r="A1163" s="404" t="s">
        <v>635</v>
      </c>
      <c r="B1163" s="179" t="s">
        <v>1536</v>
      </c>
      <c r="C1163" s="379" t="s">
        <v>1385</v>
      </c>
      <c r="D1163" s="263">
        <f>7.16*1.04</f>
        <v>7.45</v>
      </c>
      <c r="E1163" s="96">
        <f t="shared" si="66"/>
        <v>1.49</v>
      </c>
      <c r="F1163" s="154">
        <f t="shared" si="67"/>
        <v>8.94</v>
      </c>
      <c r="G1163" s="226"/>
      <c r="H1163" s="253"/>
      <c r="I1163" s="253"/>
      <c r="J1163" s="253"/>
      <c r="K1163" s="253"/>
      <c r="L1163" s="253"/>
      <c r="M1163" s="253"/>
      <c r="N1163" s="253"/>
      <c r="O1163" s="253"/>
      <c r="P1163" s="253"/>
      <c r="Q1163" s="253"/>
      <c r="R1163" s="253"/>
      <c r="S1163" s="253"/>
      <c r="EH1163" s="348"/>
      <c r="HF1163" s="349"/>
      <c r="HG1163" s="350"/>
      <c r="IU1163" s="349">
        <v>6.58</v>
      </c>
      <c r="IV1163" s="351">
        <f>6.58*1.045</f>
        <v>6.88</v>
      </c>
    </row>
    <row r="1164" spans="1:256" s="347" customFormat="1" ht="34.5" hidden="1" customHeight="1" x14ac:dyDescent="0.2">
      <c r="A1164" s="404" t="s">
        <v>636</v>
      </c>
      <c r="B1164" s="179" t="s">
        <v>1537</v>
      </c>
      <c r="C1164" s="379" t="s">
        <v>1538</v>
      </c>
      <c r="D1164" s="263">
        <f>6.74*1.04</f>
        <v>7.01</v>
      </c>
      <c r="E1164" s="96">
        <f t="shared" si="66"/>
        <v>1.4</v>
      </c>
      <c r="F1164" s="154">
        <f>D1164+E1164</f>
        <v>8.41</v>
      </c>
      <c r="G1164" s="226"/>
      <c r="H1164" s="253"/>
      <c r="I1164" s="253"/>
      <c r="J1164" s="253"/>
      <c r="K1164" s="253"/>
      <c r="L1164" s="253"/>
      <c r="M1164" s="253"/>
      <c r="N1164" s="253"/>
      <c r="O1164" s="253"/>
      <c r="P1164" s="253"/>
      <c r="Q1164" s="253"/>
      <c r="R1164" s="253"/>
      <c r="S1164" s="253"/>
      <c r="EH1164" s="348"/>
      <c r="HF1164" s="349"/>
      <c r="HG1164" s="350"/>
      <c r="IU1164" s="349">
        <v>6.2</v>
      </c>
      <c r="IV1164" s="351">
        <f>6.2*1.045</f>
        <v>6.48</v>
      </c>
    </row>
    <row r="1165" spans="1:256" s="347" customFormat="1" ht="34.5" hidden="1" customHeight="1" x14ac:dyDescent="0.2">
      <c r="A1165" s="404" t="s">
        <v>1539</v>
      </c>
      <c r="B1165" s="179" t="s">
        <v>1540</v>
      </c>
      <c r="C1165" s="379" t="s">
        <v>1541</v>
      </c>
      <c r="D1165" s="263">
        <f>1.37*1.04</f>
        <v>1.42</v>
      </c>
      <c r="E1165" s="96">
        <f t="shared" si="66"/>
        <v>0.28000000000000003</v>
      </c>
      <c r="F1165" s="154">
        <f>D1165+E1165</f>
        <v>1.7</v>
      </c>
      <c r="G1165" s="226"/>
      <c r="H1165" s="253"/>
      <c r="I1165" s="253"/>
      <c r="J1165" s="253"/>
      <c r="K1165" s="253"/>
      <c r="L1165" s="253"/>
      <c r="M1165" s="253"/>
      <c r="N1165" s="253"/>
      <c r="O1165" s="253"/>
      <c r="P1165" s="253"/>
      <c r="Q1165" s="253"/>
      <c r="R1165" s="253"/>
      <c r="S1165" s="253"/>
      <c r="EH1165" s="348"/>
      <c r="HF1165" s="349"/>
      <c r="HG1165" s="350"/>
      <c r="IU1165" s="349">
        <v>1.26</v>
      </c>
      <c r="IV1165" s="351">
        <f>1.26*1.045</f>
        <v>1.32</v>
      </c>
    </row>
    <row r="1166" spans="1:256" s="347" customFormat="1" ht="41.25" hidden="1" customHeight="1" x14ac:dyDescent="0.2">
      <c r="A1166" s="108" t="s">
        <v>33</v>
      </c>
      <c r="B1166" s="437" t="s">
        <v>1542</v>
      </c>
      <c r="C1166" s="437"/>
      <c r="D1166" s="437"/>
      <c r="E1166" s="437"/>
      <c r="F1166" s="437"/>
      <c r="G1166" s="226"/>
      <c r="H1166" s="253"/>
      <c r="I1166" s="253"/>
      <c r="J1166" s="253"/>
      <c r="K1166" s="253"/>
      <c r="L1166" s="253"/>
      <c r="M1166" s="253"/>
      <c r="N1166" s="253"/>
      <c r="O1166" s="253"/>
      <c r="P1166" s="253"/>
      <c r="Q1166" s="253"/>
      <c r="R1166" s="253"/>
      <c r="S1166" s="253"/>
      <c r="EH1166" s="348"/>
      <c r="HG1166" s="350"/>
    </row>
    <row r="1167" spans="1:256" s="347" customFormat="1" ht="15.75" hidden="1" customHeight="1" x14ac:dyDescent="0.2">
      <c r="A1167" s="404" t="s">
        <v>639</v>
      </c>
      <c r="B1167" s="430" t="s">
        <v>1543</v>
      </c>
      <c r="C1167" s="430"/>
      <c r="D1167" s="430"/>
      <c r="E1167" s="430"/>
      <c r="F1167" s="430"/>
      <c r="G1167" s="226"/>
      <c r="H1167" s="253"/>
      <c r="I1167" s="253"/>
      <c r="J1167" s="253"/>
      <c r="K1167" s="253"/>
      <c r="L1167" s="253"/>
      <c r="M1167" s="253"/>
      <c r="N1167" s="253"/>
      <c r="O1167" s="253"/>
      <c r="P1167" s="253"/>
      <c r="Q1167" s="253"/>
      <c r="R1167" s="253"/>
      <c r="S1167" s="253"/>
      <c r="EH1167" s="348"/>
      <c r="HG1167" s="350"/>
    </row>
    <row r="1168" spans="1:256" s="347" customFormat="1" ht="15.75" hidden="1" x14ac:dyDescent="0.2">
      <c r="A1168" s="404" t="s">
        <v>1544</v>
      </c>
      <c r="B1168" s="381" t="s">
        <v>1545</v>
      </c>
      <c r="C1168" s="379" t="s">
        <v>1530</v>
      </c>
      <c r="D1168" s="263">
        <f>121.25*1.04</f>
        <v>126.1</v>
      </c>
      <c r="E1168" s="96">
        <f t="shared" ref="E1168:E1178" si="68">D1168*20%</f>
        <v>25.22</v>
      </c>
      <c r="F1168" s="154">
        <f>D1168+E1168</f>
        <v>151.32</v>
      </c>
      <c r="G1168" s="226"/>
      <c r="H1168" s="253"/>
      <c r="I1168" s="253"/>
      <c r="J1168" s="253"/>
      <c r="K1168" s="253"/>
      <c r="L1168" s="253"/>
      <c r="M1168" s="253"/>
      <c r="N1168" s="253"/>
      <c r="O1168" s="253"/>
      <c r="P1168" s="253"/>
      <c r="Q1168" s="253"/>
      <c r="R1168" s="253"/>
      <c r="S1168" s="253"/>
      <c r="EH1168" s="348"/>
      <c r="HF1168" s="349"/>
      <c r="HG1168" s="350"/>
      <c r="IU1168" s="349">
        <v>111.57</v>
      </c>
      <c r="IV1168" s="351">
        <f>111.57*1.045</f>
        <v>116.59</v>
      </c>
    </row>
    <row r="1169" spans="1:256" s="347" customFormat="1" ht="15.75" hidden="1" x14ac:dyDescent="0.2">
      <c r="A1169" s="404" t="s">
        <v>1546</v>
      </c>
      <c r="B1169" s="381" t="s">
        <v>1547</v>
      </c>
      <c r="C1169" s="379" t="s">
        <v>1530</v>
      </c>
      <c r="D1169" s="263">
        <f>181.89*1.04</f>
        <v>189.17</v>
      </c>
      <c r="E1169" s="96">
        <f t="shared" si="68"/>
        <v>37.83</v>
      </c>
      <c r="F1169" s="154">
        <f t="shared" ref="F1169:F1178" si="69">D1169+E1169</f>
        <v>227</v>
      </c>
      <c r="G1169" s="226"/>
      <c r="H1169" s="253"/>
      <c r="I1169" s="253"/>
      <c r="J1169" s="253"/>
      <c r="K1169" s="253"/>
      <c r="L1169" s="253"/>
      <c r="M1169" s="253"/>
      <c r="N1169" s="253"/>
      <c r="O1169" s="253"/>
      <c r="P1169" s="253"/>
      <c r="Q1169" s="253"/>
      <c r="R1169" s="253"/>
      <c r="S1169" s="253"/>
      <c r="EH1169" s="348"/>
      <c r="HF1169" s="349"/>
      <c r="HG1169" s="350"/>
      <c r="IU1169" s="349">
        <v>167.36</v>
      </c>
      <c r="IV1169" s="351">
        <f>167.36*1.045</f>
        <v>174.89</v>
      </c>
    </row>
    <row r="1170" spans="1:256" s="347" customFormat="1" ht="15.75" hidden="1" x14ac:dyDescent="0.2">
      <c r="A1170" s="404" t="s">
        <v>1548</v>
      </c>
      <c r="B1170" s="381" t="s">
        <v>1549</v>
      </c>
      <c r="C1170" s="379" t="s">
        <v>1530</v>
      </c>
      <c r="D1170" s="263">
        <f>303.13*1.04</f>
        <v>315.26</v>
      </c>
      <c r="E1170" s="96">
        <f t="shared" si="68"/>
        <v>63.05</v>
      </c>
      <c r="F1170" s="154">
        <f t="shared" si="69"/>
        <v>378.31</v>
      </c>
      <c r="G1170" s="226"/>
      <c r="H1170" s="253"/>
      <c r="I1170" s="253"/>
      <c r="J1170" s="253"/>
      <c r="K1170" s="253"/>
      <c r="L1170" s="253"/>
      <c r="M1170" s="253"/>
      <c r="N1170" s="253"/>
      <c r="O1170" s="253"/>
      <c r="P1170" s="253"/>
      <c r="Q1170" s="253"/>
      <c r="R1170" s="253"/>
      <c r="S1170" s="253"/>
      <c r="EH1170" s="348"/>
      <c r="HF1170" s="349"/>
      <c r="HG1170" s="350"/>
      <c r="IU1170" s="349">
        <v>278.92</v>
      </c>
      <c r="IV1170" s="351">
        <f>278.92*1.045</f>
        <v>291.47000000000003</v>
      </c>
    </row>
    <row r="1171" spans="1:256" s="347" customFormat="1" ht="15.75" hidden="1" customHeight="1" x14ac:dyDescent="0.2">
      <c r="A1171" s="404" t="s">
        <v>1550</v>
      </c>
      <c r="B1171" s="381" t="s">
        <v>1551</v>
      </c>
      <c r="C1171" s="379" t="s">
        <v>1530</v>
      </c>
      <c r="D1171" s="263">
        <f>454.72*1.04</f>
        <v>472.91</v>
      </c>
      <c r="E1171" s="96">
        <f t="shared" si="68"/>
        <v>94.58</v>
      </c>
      <c r="F1171" s="154">
        <f>D1171+E1171</f>
        <v>567.49</v>
      </c>
      <c r="G1171" s="226"/>
      <c r="H1171" s="253"/>
      <c r="I1171" s="253"/>
      <c r="J1171" s="253"/>
      <c r="K1171" s="253"/>
      <c r="L1171" s="253"/>
      <c r="M1171" s="253"/>
      <c r="N1171" s="253"/>
      <c r="O1171" s="253"/>
      <c r="P1171" s="253"/>
      <c r="Q1171" s="253"/>
      <c r="R1171" s="253"/>
      <c r="S1171" s="253"/>
      <c r="EH1171" s="348"/>
      <c r="HF1171" s="349"/>
      <c r="HG1171" s="350"/>
      <c r="IU1171" s="349">
        <v>418.4</v>
      </c>
      <c r="IV1171" s="351">
        <f>418.4*1.045</f>
        <v>437.23</v>
      </c>
    </row>
    <row r="1172" spans="1:256" s="347" customFormat="1" ht="15.75" hidden="1" customHeight="1" x14ac:dyDescent="0.2">
      <c r="A1172" s="404" t="s">
        <v>1552</v>
      </c>
      <c r="B1172" s="381" t="s">
        <v>1553</v>
      </c>
      <c r="C1172" s="379" t="s">
        <v>1530</v>
      </c>
      <c r="D1172" s="263">
        <f>716.08*1.04</f>
        <v>744.72</v>
      </c>
      <c r="E1172" s="96">
        <f t="shared" si="68"/>
        <v>148.94</v>
      </c>
      <c r="F1172" s="154">
        <f t="shared" si="69"/>
        <v>893.66</v>
      </c>
      <c r="G1172" s="226"/>
      <c r="H1172" s="253"/>
      <c r="I1172" s="253"/>
      <c r="J1172" s="253"/>
      <c r="K1172" s="253"/>
      <c r="L1172" s="253"/>
      <c r="M1172" s="253"/>
      <c r="N1172" s="253"/>
      <c r="O1172" s="253"/>
      <c r="P1172" s="253"/>
      <c r="Q1172" s="253"/>
      <c r="R1172" s="253"/>
      <c r="S1172" s="253"/>
      <c r="EH1172" s="348"/>
      <c r="HF1172" s="349"/>
      <c r="HG1172" s="350"/>
      <c r="IU1172" s="349">
        <v>658.89</v>
      </c>
      <c r="IV1172" s="351">
        <f>658.89*1.045</f>
        <v>688.54</v>
      </c>
    </row>
    <row r="1173" spans="1:256" s="347" customFormat="1" ht="15.75" hidden="1" x14ac:dyDescent="0.2">
      <c r="A1173" s="404" t="s">
        <v>640</v>
      </c>
      <c r="B1173" s="397" t="s">
        <v>1554</v>
      </c>
      <c r="C1173" s="379" t="s">
        <v>1530</v>
      </c>
      <c r="D1173" s="263">
        <f>238.7*1.04</f>
        <v>248.25</v>
      </c>
      <c r="E1173" s="96">
        <f t="shared" si="68"/>
        <v>49.65</v>
      </c>
      <c r="F1173" s="154">
        <f t="shared" si="69"/>
        <v>297.89999999999998</v>
      </c>
      <c r="G1173" s="226"/>
      <c r="H1173" s="253"/>
      <c r="I1173" s="253"/>
      <c r="J1173" s="253"/>
      <c r="K1173" s="253"/>
      <c r="L1173" s="253"/>
      <c r="M1173" s="253"/>
      <c r="N1173" s="253"/>
      <c r="O1173" s="253"/>
      <c r="P1173" s="253"/>
      <c r="Q1173" s="253"/>
      <c r="R1173" s="253"/>
      <c r="S1173" s="253"/>
      <c r="EH1173" s="348"/>
      <c r="HF1173" s="349"/>
      <c r="HG1173" s="350"/>
      <c r="IU1173" s="349">
        <v>219.64</v>
      </c>
      <c r="IV1173" s="351">
        <f>219.64*1.045</f>
        <v>229.52</v>
      </c>
    </row>
    <row r="1174" spans="1:256" s="347" customFormat="1" ht="15.75" hidden="1" x14ac:dyDescent="0.2">
      <c r="A1174" s="404" t="s">
        <v>641</v>
      </c>
      <c r="B1174" s="397" t="s">
        <v>1555</v>
      </c>
      <c r="C1174" s="379" t="s">
        <v>1530</v>
      </c>
      <c r="D1174" s="263">
        <f>159.2*1.04</f>
        <v>165.57</v>
      </c>
      <c r="E1174" s="96">
        <f t="shared" si="68"/>
        <v>33.11</v>
      </c>
      <c r="F1174" s="154">
        <f t="shared" si="69"/>
        <v>198.68</v>
      </c>
      <c r="G1174" s="226"/>
      <c r="H1174" s="253"/>
      <c r="I1174" s="253"/>
      <c r="J1174" s="253"/>
      <c r="K1174" s="253"/>
      <c r="L1174" s="253"/>
      <c r="M1174" s="253"/>
      <c r="N1174" s="253"/>
      <c r="O1174" s="253"/>
      <c r="P1174" s="253"/>
      <c r="Q1174" s="253"/>
      <c r="R1174" s="253"/>
      <c r="S1174" s="253"/>
      <c r="EH1174" s="348"/>
      <c r="HF1174" s="349"/>
      <c r="HG1174" s="350"/>
      <c r="IU1174" s="349">
        <v>146.49</v>
      </c>
      <c r="IV1174" s="351">
        <f>146.49*1.045</f>
        <v>153.08000000000001</v>
      </c>
    </row>
    <row r="1175" spans="1:256" s="347" customFormat="1" ht="15.75" hidden="1" x14ac:dyDescent="0.2">
      <c r="A1175" s="404" t="s">
        <v>642</v>
      </c>
      <c r="B1175" s="397" t="s">
        <v>1556</v>
      </c>
      <c r="C1175" s="379" t="s">
        <v>1530</v>
      </c>
      <c r="D1175" s="263">
        <f>238.7*1.04</f>
        <v>248.25</v>
      </c>
      <c r="E1175" s="96">
        <f t="shared" si="68"/>
        <v>49.65</v>
      </c>
      <c r="F1175" s="154">
        <f t="shared" si="69"/>
        <v>297.89999999999998</v>
      </c>
      <c r="G1175" s="226"/>
      <c r="H1175" s="253"/>
      <c r="I1175" s="253"/>
      <c r="J1175" s="253"/>
      <c r="K1175" s="253"/>
      <c r="L1175" s="253"/>
      <c r="M1175" s="253"/>
      <c r="N1175" s="253"/>
      <c r="O1175" s="253"/>
      <c r="P1175" s="253"/>
      <c r="Q1175" s="253"/>
      <c r="R1175" s="253"/>
      <c r="S1175" s="253"/>
      <c r="EH1175" s="348"/>
      <c r="HF1175" s="349"/>
      <c r="HG1175" s="350"/>
      <c r="IU1175" s="349">
        <v>219.64</v>
      </c>
      <c r="IV1175" s="351">
        <f>219.64*1.045</f>
        <v>229.52</v>
      </c>
    </row>
    <row r="1176" spans="1:256" s="347" customFormat="1" ht="31.5" hidden="1" x14ac:dyDescent="0.2">
      <c r="A1176" s="404" t="s">
        <v>644</v>
      </c>
      <c r="B1176" s="397" t="s">
        <v>1557</v>
      </c>
      <c r="C1176" s="379" t="s">
        <v>1530</v>
      </c>
      <c r="D1176" s="263">
        <f>238.7*1.04</f>
        <v>248.25</v>
      </c>
      <c r="E1176" s="96">
        <f t="shared" si="68"/>
        <v>49.65</v>
      </c>
      <c r="F1176" s="154">
        <f t="shared" si="69"/>
        <v>297.89999999999998</v>
      </c>
      <c r="G1176" s="226"/>
      <c r="H1176" s="253"/>
      <c r="I1176" s="253"/>
      <c r="J1176" s="253"/>
      <c r="K1176" s="253"/>
      <c r="L1176" s="253"/>
      <c r="M1176" s="253"/>
      <c r="N1176" s="253"/>
      <c r="O1176" s="253"/>
      <c r="P1176" s="253"/>
      <c r="Q1176" s="253"/>
      <c r="R1176" s="253"/>
      <c r="S1176" s="253"/>
      <c r="EH1176" s="348"/>
      <c r="HF1176" s="349"/>
      <c r="HG1176" s="350"/>
      <c r="IU1176" s="349">
        <v>219.64</v>
      </c>
      <c r="IV1176" s="351">
        <f>219.64*1.045</f>
        <v>229.52</v>
      </c>
    </row>
    <row r="1177" spans="1:256" s="347" customFormat="1" ht="26.25" hidden="1" customHeight="1" x14ac:dyDescent="0.2">
      <c r="A1177" s="404" t="s">
        <v>646</v>
      </c>
      <c r="B1177" s="397" t="s">
        <v>1558</v>
      </c>
      <c r="C1177" s="379" t="s">
        <v>1530</v>
      </c>
      <c r="D1177" s="263">
        <f>79.48*1.04</f>
        <v>82.66</v>
      </c>
      <c r="E1177" s="96">
        <f t="shared" si="68"/>
        <v>16.53</v>
      </c>
      <c r="F1177" s="154">
        <f>D1177+E1177</f>
        <v>99.19</v>
      </c>
      <c r="G1177" s="226"/>
      <c r="H1177" s="253"/>
      <c r="I1177" s="253"/>
      <c r="J1177" s="253"/>
      <c r="K1177" s="253"/>
      <c r="L1177" s="253"/>
      <c r="M1177" s="253"/>
      <c r="N1177" s="253"/>
      <c r="O1177" s="253"/>
      <c r="P1177" s="253"/>
      <c r="Q1177" s="253"/>
      <c r="R1177" s="253"/>
      <c r="S1177" s="253"/>
      <c r="EH1177" s="348"/>
      <c r="HF1177" s="349"/>
      <c r="HG1177" s="350"/>
      <c r="IU1177" s="349">
        <v>73.13</v>
      </c>
      <c r="IV1177" s="351">
        <f>73.13*1.045</f>
        <v>76.42</v>
      </c>
    </row>
    <row r="1178" spans="1:256" s="347" customFormat="1" ht="15.75" hidden="1" x14ac:dyDescent="0.2">
      <c r="A1178" s="404" t="s">
        <v>648</v>
      </c>
      <c r="B1178" s="397" t="s">
        <v>1559</v>
      </c>
      <c r="C1178" s="379" t="s">
        <v>1530</v>
      </c>
      <c r="D1178" s="263">
        <f>716.08*1.04</f>
        <v>744.72</v>
      </c>
      <c r="E1178" s="96">
        <f t="shared" si="68"/>
        <v>148.94</v>
      </c>
      <c r="F1178" s="154">
        <f t="shared" si="69"/>
        <v>893.66</v>
      </c>
      <c r="G1178" s="226"/>
      <c r="H1178" s="253"/>
      <c r="I1178" s="253"/>
      <c r="J1178" s="253"/>
      <c r="K1178" s="253"/>
      <c r="L1178" s="253"/>
      <c r="M1178" s="253"/>
      <c r="N1178" s="253"/>
      <c r="O1178" s="253"/>
      <c r="P1178" s="253"/>
      <c r="Q1178" s="253"/>
      <c r="R1178" s="253"/>
      <c r="S1178" s="253"/>
      <c r="EH1178" s="348"/>
      <c r="HF1178" s="349"/>
      <c r="HG1178" s="350"/>
      <c r="IU1178" s="349">
        <v>658.89</v>
      </c>
      <c r="IV1178" s="351">
        <f>658.89*1.045</f>
        <v>688.54</v>
      </c>
    </row>
    <row r="1179" spans="1:256" s="347" customFormat="1" ht="20.25" hidden="1" customHeight="1" x14ac:dyDescent="0.2">
      <c r="A1179" s="404" t="s">
        <v>1560</v>
      </c>
      <c r="B1179" s="430" t="s">
        <v>1561</v>
      </c>
      <c r="C1179" s="430"/>
      <c r="D1179" s="430"/>
      <c r="E1179" s="430"/>
      <c r="F1179" s="430"/>
      <c r="G1179" s="226"/>
      <c r="H1179" s="253"/>
      <c r="I1179" s="253"/>
      <c r="J1179" s="253"/>
      <c r="K1179" s="253"/>
      <c r="L1179" s="253"/>
      <c r="M1179" s="253"/>
      <c r="N1179" s="253"/>
      <c r="O1179" s="253"/>
      <c r="P1179" s="253"/>
      <c r="Q1179" s="253"/>
      <c r="R1179" s="253"/>
      <c r="S1179" s="253"/>
      <c r="EH1179" s="348"/>
      <c r="HG1179" s="350"/>
    </row>
    <row r="1180" spans="1:256" s="347" customFormat="1" ht="20.25" hidden="1" customHeight="1" x14ac:dyDescent="0.2">
      <c r="A1180" s="404" t="s">
        <v>1562</v>
      </c>
      <c r="B1180" s="381" t="s">
        <v>1563</v>
      </c>
      <c r="C1180" s="379" t="s">
        <v>1530</v>
      </c>
      <c r="D1180" s="263">
        <f>54.28*1.04</f>
        <v>56.45</v>
      </c>
      <c r="E1180" s="96">
        <f>D1180*20%</f>
        <v>11.29</v>
      </c>
      <c r="F1180" s="154">
        <f>D1180+E1180</f>
        <v>67.739999999999995</v>
      </c>
      <c r="G1180" s="226"/>
      <c r="H1180" s="253"/>
      <c r="I1180" s="253"/>
      <c r="J1180" s="253"/>
      <c r="K1180" s="253"/>
      <c r="L1180" s="253"/>
      <c r="M1180" s="253"/>
      <c r="N1180" s="253"/>
      <c r="O1180" s="253"/>
      <c r="P1180" s="253"/>
      <c r="Q1180" s="253"/>
      <c r="R1180" s="253"/>
      <c r="S1180" s="253"/>
      <c r="EH1180" s="348"/>
      <c r="HF1180" s="349"/>
      <c r="HG1180" s="350"/>
      <c r="IU1180" s="349">
        <v>49.94</v>
      </c>
      <c r="IV1180" s="351">
        <f>49.94*1.045</f>
        <v>52.19</v>
      </c>
    </row>
    <row r="1181" spans="1:256" s="347" customFormat="1" ht="19.5" hidden="1" customHeight="1" x14ac:dyDescent="0.2">
      <c r="A1181" s="404" t="s">
        <v>1564</v>
      </c>
      <c r="B1181" s="381" t="s">
        <v>1565</v>
      </c>
      <c r="C1181" s="379" t="s">
        <v>1530</v>
      </c>
      <c r="D1181" s="263">
        <f>18.16*1.04</f>
        <v>18.89</v>
      </c>
      <c r="E1181" s="96">
        <f>D1181*20%</f>
        <v>3.78</v>
      </c>
      <c r="F1181" s="154">
        <f>D1181+E1181</f>
        <v>22.67</v>
      </c>
      <c r="G1181" s="226"/>
      <c r="H1181" s="253"/>
      <c r="I1181" s="253"/>
      <c r="J1181" s="253"/>
      <c r="K1181" s="253"/>
      <c r="L1181" s="253"/>
      <c r="M1181" s="253"/>
      <c r="N1181" s="253"/>
      <c r="O1181" s="253"/>
      <c r="P1181" s="253"/>
      <c r="Q1181" s="253"/>
      <c r="R1181" s="253"/>
      <c r="S1181" s="253"/>
      <c r="EH1181" s="348"/>
      <c r="HF1181" s="349"/>
      <c r="HG1181" s="350"/>
      <c r="IU1181" s="349">
        <v>16.71</v>
      </c>
      <c r="IV1181" s="351">
        <f>16.71*1.045</f>
        <v>17.46</v>
      </c>
    </row>
    <row r="1182" spans="1:256" s="347" customFormat="1" ht="178.5" hidden="1" customHeight="1" x14ac:dyDescent="0.2">
      <c r="A1182" s="108" t="s">
        <v>35</v>
      </c>
      <c r="B1182" s="381" t="s">
        <v>1566</v>
      </c>
      <c r="C1182" s="379" t="s">
        <v>1567</v>
      </c>
      <c r="D1182" s="263">
        <f>60.38*1.04</f>
        <v>62.8</v>
      </c>
      <c r="E1182" s="96">
        <f>D1182*20%</f>
        <v>12.56</v>
      </c>
      <c r="F1182" s="154">
        <f>D1182+E1182</f>
        <v>75.36</v>
      </c>
      <c r="G1182" s="226"/>
      <c r="H1182" s="253"/>
      <c r="I1182" s="253"/>
      <c r="J1182" s="253"/>
      <c r="K1182" s="253"/>
      <c r="L1182" s="253"/>
      <c r="M1182" s="253"/>
      <c r="N1182" s="253"/>
      <c r="O1182" s="253"/>
      <c r="P1182" s="253"/>
      <c r="Q1182" s="253"/>
      <c r="R1182" s="253"/>
      <c r="S1182" s="253"/>
      <c r="EH1182" s="348"/>
      <c r="HF1182" s="349"/>
      <c r="HG1182" s="350"/>
      <c r="IU1182" s="349">
        <v>55.56</v>
      </c>
      <c r="IV1182" s="351">
        <f>55.56*1.045</f>
        <v>58.06</v>
      </c>
    </row>
    <row r="1183" spans="1:256" s="347" customFormat="1" ht="35.25" hidden="1" customHeight="1" x14ac:dyDescent="0.2">
      <c r="A1183" s="429" t="s">
        <v>1568</v>
      </c>
      <c r="B1183" s="429"/>
      <c r="C1183" s="429"/>
      <c r="D1183" s="429"/>
      <c r="E1183" s="429"/>
      <c r="F1183" s="429"/>
      <c r="G1183" s="226"/>
      <c r="H1183" s="253"/>
      <c r="I1183" s="253"/>
      <c r="J1183" s="253"/>
      <c r="K1183" s="253"/>
      <c r="L1183" s="253"/>
      <c r="M1183" s="253"/>
      <c r="N1183" s="253"/>
      <c r="O1183" s="253"/>
      <c r="P1183" s="253"/>
      <c r="Q1183" s="253"/>
      <c r="R1183" s="253"/>
      <c r="S1183" s="253"/>
      <c r="EH1183" s="348"/>
      <c r="HG1183" s="350"/>
    </row>
    <row r="1184" spans="1:256" s="347" customFormat="1" ht="15.75" hidden="1" customHeight="1" x14ac:dyDescent="0.2">
      <c r="A1184" s="108" t="s">
        <v>14</v>
      </c>
      <c r="B1184" s="430" t="s">
        <v>1569</v>
      </c>
      <c r="C1184" s="430"/>
      <c r="D1184" s="430"/>
      <c r="E1184" s="430"/>
      <c r="F1184" s="430"/>
      <c r="G1184" s="226"/>
      <c r="H1184" s="253"/>
      <c r="I1184" s="253"/>
      <c r="J1184" s="253"/>
      <c r="K1184" s="253"/>
      <c r="L1184" s="253"/>
      <c r="M1184" s="253"/>
      <c r="N1184" s="253"/>
      <c r="O1184" s="253"/>
      <c r="P1184" s="253"/>
      <c r="Q1184" s="253"/>
      <c r="R1184" s="253"/>
      <c r="S1184" s="253"/>
      <c r="EH1184" s="348"/>
      <c r="HG1184" s="350"/>
    </row>
    <row r="1185" spans="1:256" s="347" customFormat="1" ht="15.75" hidden="1" x14ac:dyDescent="0.2">
      <c r="A1185" s="404" t="s">
        <v>200</v>
      </c>
      <c r="B1185" s="381" t="s">
        <v>1570</v>
      </c>
      <c r="C1185" s="379" t="s">
        <v>1571</v>
      </c>
      <c r="D1185" s="263">
        <f>22.67*1.04</f>
        <v>23.58</v>
      </c>
      <c r="E1185" s="96">
        <f t="shared" ref="E1185:E1192" si="70">D1185*20%</f>
        <v>4.72</v>
      </c>
      <c r="F1185" s="154">
        <f t="shared" ref="F1185:F1192" si="71">D1185+E1185</f>
        <v>28.3</v>
      </c>
      <c r="G1185" s="226"/>
      <c r="H1185" s="253"/>
      <c r="I1185" s="253"/>
      <c r="J1185" s="253"/>
      <c r="K1185" s="253"/>
      <c r="L1185" s="253"/>
      <c r="M1185" s="253"/>
      <c r="N1185" s="253"/>
      <c r="O1185" s="253"/>
      <c r="P1185" s="253"/>
      <c r="Q1185" s="253"/>
      <c r="R1185" s="253"/>
      <c r="S1185" s="253"/>
      <c r="EH1185" s="348"/>
      <c r="HF1185" s="349"/>
      <c r="HG1185" s="350"/>
      <c r="IU1185" s="349">
        <v>20.86</v>
      </c>
      <c r="IV1185" s="351">
        <f>20.86*1.045</f>
        <v>21.8</v>
      </c>
    </row>
    <row r="1186" spans="1:256" s="347" customFormat="1" ht="31.5" hidden="1" x14ac:dyDescent="0.2">
      <c r="A1186" s="404" t="s">
        <v>204</v>
      </c>
      <c r="B1186" s="381" t="s">
        <v>1572</v>
      </c>
      <c r="C1186" s="379" t="s">
        <v>1571</v>
      </c>
      <c r="D1186" s="263">
        <f>19.82*1.04</f>
        <v>20.61</v>
      </c>
      <c r="E1186" s="96">
        <f t="shared" si="70"/>
        <v>4.12</v>
      </c>
      <c r="F1186" s="154">
        <f>D1186+E1186</f>
        <v>24.73</v>
      </c>
      <c r="G1186" s="226"/>
      <c r="H1186" s="253"/>
      <c r="I1186" s="253"/>
      <c r="J1186" s="253"/>
      <c r="K1186" s="253"/>
      <c r="L1186" s="253"/>
      <c r="M1186" s="253"/>
      <c r="N1186" s="253"/>
      <c r="O1186" s="253"/>
      <c r="P1186" s="253"/>
      <c r="Q1186" s="253"/>
      <c r="R1186" s="253"/>
      <c r="S1186" s="253"/>
      <c r="EH1186" s="348"/>
      <c r="HF1186" s="349"/>
      <c r="HG1186" s="350"/>
      <c r="IU1186" s="349">
        <v>18.239999999999998</v>
      </c>
      <c r="IV1186" s="351">
        <f>18.24*1.045</f>
        <v>19.059999999999999</v>
      </c>
    </row>
    <row r="1187" spans="1:256" s="347" customFormat="1" ht="15.75" hidden="1" x14ac:dyDescent="0.2">
      <c r="A1187" s="404" t="s">
        <v>521</v>
      </c>
      <c r="B1187" s="381" t="s">
        <v>1573</v>
      </c>
      <c r="C1187" s="379" t="s">
        <v>1574</v>
      </c>
      <c r="D1187" s="263">
        <f>0.78*1.04</f>
        <v>0.81</v>
      </c>
      <c r="E1187" s="96">
        <f t="shared" si="70"/>
        <v>0.16</v>
      </c>
      <c r="F1187" s="154">
        <f t="shared" si="71"/>
        <v>0.97</v>
      </c>
      <c r="G1187" s="226"/>
      <c r="H1187" s="253"/>
      <c r="I1187" s="253"/>
      <c r="J1187" s="253"/>
      <c r="K1187" s="253"/>
      <c r="L1187" s="253"/>
      <c r="M1187" s="253"/>
      <c r="N1187" s="253"/>
      <c r="O1187" s="253"/>
      <c r="P1187" s="253"/>
      <c r="Q1187" s="253"/>
      <c r="R1187" s="253"/>
      <c r="S1187" s="253"/>
      <c r="EH1187" s="354" t="s">
        <v>1575</v>
      </c>
      <c r="HF1187" s="349"/>
      <c r="HG1187" s="350"/>
      <c r="IU1187" s="349">
        <v>7.0000000000000007E-2</v>
      </c>
      <c r="IV1187" s="351">
        <f>0.1*1.045</f>
        <v>0.1</v>
      </c>
    </row>
    <row r="1188" spans="1:256" s="347" customFormat="1" ht="15.75" hidden="1" customHeight="1" x14ac:dyDescent="0.2">
      <c r="A1188" s="404" t="s">
        <v>523</v>
      </c>
      <c r="B1188" s="381" t="s">
        <v>1576</v>
      </c>
      <c r="C1188" s="379" t="s">
        <v>1509</v>
      </c>
      <c r="D1188" s="263">
        <f>1.44*1.04</f>
        <v>1.5</v>
      </c>
      <c r="E1188" s="96">
        <f t="shared" si="70"/>
        <v>0.3</v>
      </c>
      <c r="F1188" s="154">
        <f t="shared" si="71"/>
        <v>1.8</v>
      </c>
      <c r="G1188" s="226"/>
      <c r="H1188" s="253"/>
      <c r="I1188" s="253"/>
      <c r="J1188" s="253"/>
      <c r="K1188" s="253"/>
      <c r="L1188" s="253"/>
      <c r="M1188" s="253"/>
      <c r="N1188" s="253"/>
      <c r="O1188" s="253"/>
      <c r="P1188" s="253"/>
      <c r="Q1188" s="253"/>
      <c r="R1188" s="253"/>
      <c r="S1188" s="253"/>
      <c r="EH1188" s="348"/>
      <c r="HF1188" s="349"/>
      <c r="HG1188" s="350"/>
      <c r="IU1188" s="349">
        <v>1.32</v>
      </c>
      <c r="IV1188" s="351">
        <f>1.32*1.045</f>
        <v>1.38</v>
      </c>
    </row>
    <row r="1189" spans="1:256" s="347" customFormat="1" ht="15.75" hidden="1" x14ac:dyDescent="0.2">
      <c r="A1189" s="404" t="s">
        <v>525</v>
      </c>
      <c r="B1189" s="381" t="s">
        <v>1577</v>
      </c>
      <c r="C1189" s="379" t="s">
        <v>1578</v>
      </c>
      <c r="D1189" s="263">
        <f>0.96*1.04</f>
        <v>1</v>
      </c>
      <c r="E1189" s="96">
        <f t="shared" si="70"/>
        <v>0.2</v>
      </c>
      <c r="F1189" s="154">
        <f t="shared" si="71"/>
        <v>1.2</v>
      </c>
      <c r="G1189" s="226"/>
      <c r="H1189" s="253"/>
      <c r="I1189" s="253"/>
      <c r="J1189" s="253"/>
      <c r="K1189" s="253"/>
      <c r="L1189" s="253"/>
      <c r="M1189" s="253"/>
      <c r="N1189" s="253"/>
      <c r="O1189" s="253"/>
      <c r="P1189" s="253"/>
      <c r="Q1189" s="253"/>
      <c r="R1189" s="253"/>
      <c r="S1189" s="253"/>
      <c r="EH1189" s="348"/>
      <c r="HF1189" s="349"/>
      <c r="HG1189" s="350"/>
      <c r="IU1189" s="349">
        <v>0.88</v>
      </c>
      <c r="IV1189" s="351">
        <f>0.88*1.045</f>
        <v>0.92</v>
      </c>
    </row>
    <row r="1190" spans="1:256" s="347" customFormat="1" ht="15.75" hidden="1" x14ac:dyDescent="0.2">
      <c r="A1190" s="404" t="s">
        <v>527</v>
      </c>
      <c r="B1190" s="381" t="s">
        <v>1579</v>
      </c>
      <c r="C1190" s="379" t="s">
        <v>1578</v>
      </c>
      <c r="D1190" s="263">
        <f>0.78*1.04</f>
        <v>0.81</v>
      </c>
      <c r="E1190" s="96">
        <f t="shared" si="70"/>
        <v>0.16</v>
      </c>
      <c r="F1190" s="154">
        <f>D1190+E1190</f>
        <v>0.97</v>
      </c>
      <c r="G1190" s="226"/>
      <c r="H1190" s="253"/>
      <c r="I1190" s="253"/>
      <c r="J1190" s="253"/>
      <c r="K1190" s="253"/>
      <c r="L1190" s="253"/>
      <c r="M1190" s="253"/>
      <c r="N1190" s="253"/>
      <c r="O1190" s="253"/>
      <c r="P1190" s="253"/>
      <c r="Q1190" s="253"/>
      <c r="R1190" s="253"/>
      <c r="S1190" s="253"/>
      <c r="EH1190" s="354" t="s">
        <v>1575</v>
      </c>
      <c r="HF1190" s="349"/>
      <c r="HG1190" s="350"/>
      <c r="IU1190" s="349">
        <v>0.08</v>
      </c>
      <c r="IV1190" s="351">
        <f>0.1*1.045</f>
        <v>0.1</v>
      </c>
    </row>
    <row r="1191" spans="1:256" s="347" customFormat="1" ht="15.75" hidden="1" x14ac:dyDescent="0.2">
      <c r="A1191" s="404" t="s">
        <v>530</v>
      </c>
      <c r="B1191" s="381" t="s">
        <v>1580</v>
      </c>
      <c r="C1191" s="379" t="s">
        <v>1578</v>
      </c>
      <c r="D1191" s="263">
        <f>0.78*1.04</f>
        <v>0.81</v>
      </c>
      <c r="E1191" s="96">
        <f t="shared" si="70"/>
        <v>0.16</v>
      </c>
      <c r="F1191" s="154">
        <f>D1191+E1191</f>
        <v>0.97</v>
      </c>
      <c r="G1191" s="226"/>
      <c r="H1191" s="253"/>
      <c r="I1191" s="253"/>
      <c r="J1191" s="253"/>
      <c r="K1191" s="253"/>
      <c r="L1191" s="253"/>
      <c r="M1191" s="253"/>
      <c r="N1191" s="253"/>
      <c r="O1191" s="253"/>
      <c r="P1191" s="253"/>
      <c r="Q1191" s="253"/>
      <c r="R1191" s="253"/>
      <c r="S1191" s="253"/>
      <c r="EH1191" s="354" t="s">
        <v>1575</v>
      </c>
      <c r="HF1191" s="349"/>
      <c r="HG1191" s="350"/>
      <c r="IU1191" s="349">
        <v>0.08</v>
      </c>
      <c r="IV1191" s="351">
        <f>0.1*1.045</f>
        <v>0.1</v>
      </c>
    </row>
    <row r="1192" spans="1:256" s="347" customFormat="1" ht="25.5" hidden="1" customHeight="1" x14ac:dyDescent="0.2">
      <c r="A1192" s="404" t="s">
        <v>532</v>
      </c>
      <c r="B1192" s="381" t="s">
        <v>1581</v>
      </c>
      <c r="C1192" s="379" t="s">
        <v>1509</v>
      </c>
      <c r="D1192" s="263">
        <f>1.44*1.04</f>
        <v>1.5</v>
      </c>
      <c r="E1192" s="96">
        <f t="shared" si="70"/>
        <v>0.3</v>
      </c>
      <c r="F1192" s="154">
        <f t="shared" si="71"/>
        <v>1.8</v>
      </c>
      <c r="G1192" s="226"/>
      <c r="H1192" s="253"/>
      <c r="I1192" s="253"/>
      <c r="J1192" s="253"/>
      <c r="K1192" s="253"/>
      <c r="L1192" s="253"/>
      <c r="M1192" s="253"/>
      <c r="N1192" s="253"/>
      <c r="O1192" s="253"/>
      <c r="P1192" s="253"/>
      <c r="Q1192" s="253"/>
      <c r="R1192" s="253"/>
      <c r="S1192" s="253"/>
      <c r="EH1192" s="348"/>
      <c r="HF1192" s="349"/>
      <c r="HG1192" s="350"/>
      <c r="IU1192" s="349">
        <v>1.32</v>
      </c>
      <c r="IV1192" s="351">
        <f>1.32*1.045</f>
        <v>1.38</v>
      </c>
    </row>
    <row r="1193" spans="1:256" s="347" customFormat="1" ht="21" hidden="1" customHeight="1" x14ac:dyDescent="0.2">
      <c r="A1193" s="404" t="s">
        <v>534</v>
      </c>
      <c r="B1193" s="430" t="s">
        <v>1582</v>
      </c>
      <c r="C1193" s="430"/>
      <c r="D1193" s="430"/>
      <c r="E1193" s="430"/>
      <c r="F1193" s="430"/>
      <c r="G1193" s="226"/>
      <c r="H1193" s="253"/>
      <c r="I1193" s="253"/>
      <c r="J1193" s="253"/>
      <c r="K1193" s="253"/>
      <c r="L1193" s="253"/>
      <c r="M1193" s="253"/>
      <c r="N1193" s="253"/>
      <c r="O1193" s="253"/>
      <c r="P1193" s="253"/>
      <c r="Q1193" s="253"/>
      <c r="R1193" s="253"/>
      <c r="S1193" s="253"/>
      <c r="EH1193" s="348"/>
      <c r="HG1193" s="350"/>
    </row>
    <row r="1194" spans="1:256" s="347" customFormat="1" ht="15.75" hidden="1" x14ac:dyDescent="0.2">
      <c r="A1194" s="404" t="s">
        <v>1583</v>
      </c>
      <c r="B1194" s="99" t="s">
        <v>1584</v>
      </c>
      <c r="C1194" s="379" t="s">
        <v>1585</v>
      </c>
      <c r="D1194" s="263">
        <f>1.44*1.04</f>
        <v>1.5</v>
      </c>
      <c r="E1194" s="96">
        <f>D1194*20%</f>
        <v>0.3</v>
      </c>
      <c r="F1194" s="154">
        <f>D1194+E1194</f>
        <v>1.8</v>
      </c>
      <c r="G1194" s="226"/>
      <c r="H1194" s="253"/>
      <c r="I1194" s="253"/>
      <c r="J1194" s="253"/>
      <c r="K1194" s="253"/>
      <c r="L1194" s="253"/>
      <c r="M1194" s="253"/>
      <c r="N1194" s="253"/>
      <c r="O1194" s="253"/>
      <c r="P1194" s="253"/>
      <c r="Q1194" s="253"/>
      <c r="R1194" s="253"/>
      <c r="S1194" s="253"/>
      <c r="EH1194" s="348"/>
      <c r="HF1194" s="349"/>
      <c r="HG1194" s="350"/>
      <c r="IU1194" s="349">
        <v>1.32</v>
      </c>
      <c r="IV1194" s="351">
        <f>1.32*1.045</f>
        <v>1.38</v>
      </c>
    </row>
    <row r="1195" spans="1:256" s="347" customFormat="1" ht="15.75" hidden="1" x14ac:dyDescent="0.2">
      <c r="A1195" s="404" t="s">
        <v>1586</v>
      </c>
      <c r="B1195" s="99" t="s">
        <v>1587</v>
      </c>
      <c r="C1195" s="379" t="s">
        <v>1585</v>
      </c>
      <c r="D1195" s="263">
        <f>2.87*1.04</f>
        <v>2.98</v>
      </c>
      <c r="E1195" s="96">
        <f>D1195*20%</f>
        <v>0.6</v>
      </c>
      <c r="F1195" s="154">
        <f>D1195+E1195</f>
        <v>3.58</v>
      </c>
      <c r="G1195" s="226"/>
      <c r="H1195" s="253"/>
      <c r="I1195" s="253"/>
      <c r="J1195" s="253"/>
      <c r="K1195" s="253"/>
      <c r="L1195" s="253"/>
      <c r="M1195" s="253"/>
      <c r="N1195" s="253"/>
      <c r="O1195" s="253"/>
      <c r="P1195" s="253"/>
      <c r="Q1195" s="253"/>
      <c r="R1195" s="253"/>
      <c r="S1195" s="253"/>
      <c r="EH1195" s="348"/>
      <c r="HF1195" s="349"/>
      <c r="HG1195" s="350"/>
      <c r="IU1195" s="349">
        <v>2.64</v>
      </c>
      <c r="IV1195" s="351">
        <f>2.64*1.045</f>
        <v>2.76</v>
      </c>
    </row>
    <row r="1196" spans="1:256" s="347" customFormat="1" ht="15.75" hidden="1" x14ac:dyDescent="0.2">
      <c r="A1196" s="404" t="s">
        <v>1588</v>
      </c>
      <c r="B1196" s="99" t="s">
        <v>1589</v>
      </c>
      <c r="C1196" s="379" t="s">
        <v>1585</v>
      </c>
      <c r="D1196" s="263">
        <f>5.74*1.04</f>
        <v>5.97</v>
      </c>
      <c r="E1196" s="96">
        <f>D1196*20%</f>
        <v>1.19</v>
      </c>
      <c r="F1196" s="154">
        <f>D1196+E1196</f>
        <v>7.16</v>
      </c>
      <c r="G1196" s="226"/>
      <c r="H1196" s="253"/>
      <c r="I1196" s="253"/>
      <c r="J1196" s="253"/>
      <c r="K1196" s="253"/>
      <c r="L1196" s="253"/>
      <c r="M1196" s="253"/>
      <c r="N1196" s="253"/>
      <c r="O1196" s="253"/>
      <c r="P1196" s="253"/>
      <c r="Q1196" s="253"/>
      <c r="R1196" s="253"/>
      <c r="S1196" s="253"/>
      <c r="EH1196" s="348"/>
      <c r="HF1196" s="349"/>
      <c r="HG1196" s="350"/>
      <c r="IU1196" s="349">
        <v>5.28</v>
      </c>
      <c r="IV1196" s="351">
        <f>5.28*1.045</f>
        <v>5.52</v>
      </c>
    </row>
    <row r="1197" spans="1:256" s="347" customFormat="1" ht="23.25" hidden="1" customHeight="1" x14ac:dyDescent="0.2">
      <c r="A1197" s="108" t="s">
        <v>26</v>
      </c>
      <c r="B1197" s="436" t="s">
        <v>1590</v>
      </c>
      <c r="C1197" s="436"/>
      <c r="D1197" s="436"/>
      <c r="E1197" s="436"/>
      <c r="F1197" s="436"/>
      <c r="G1197" s="226"/>
      <c r="H1197" s="253"/>
      <c r="I1197" s="253"/>
      <c r="J1197" s="253"/>
      <c r="K1197" s="253"/>
      <c r="L1197" s="253"/>
      <c r="M1197" s="253"/>
      <c r="N1197" s="253"/>
      <c r="O1197" s="253"/>
      <c r="P1197" s="253"/>
      <c r="Q1197" s="253"/>
      <c r="R1197" s="253"/>
      <c r="S1197" s="253"/>
      <c r="EH1197" s="348"/>
      <c r="HG1197" s="350"/>
    </row>
    <row r="1198" spans="1:256" s="347" customFormat="1" ht="19.5" hidden="1" customHeight="1" x14ac:dyDescent="0.2">
      <c r="A1198" s="404" t="s">
        <v>563</v>
      </c>
      <c r="B1198" s="381" t="s">
        <v>1570</v>
      </c>
      <c r="C1198" s="379" t="s">
        <v>1591</v>
      </c>
      <c r="D1198" s="263">
        <f>47.51*1.04</f>
        <v>49.41</v>
      </c>
      <c r="E1198" s="96">
        <f t="shared" ref="E1198:E1203" si="72">D1198*20%</f>
        <v>9.8800000000000008</v>
      </c>
      <c r="F1198" s="154">
        <f t="shared" ref="F1198:F1203" si="73">D1198+E1198</f>
        <v>59.29</v>
      </c>
      <c r="G1198" s="226"/>
      <c r="H1198" s="253"/>
      <c r="I1198" s="253"/>
      <c r="J1198" s="253"/>
      <c r="K1198" s="253"/>
      <c r="L1198" s="253"/>
      <c r="M1198" s="253"/>
      <c r="N1198" s="253"/>
      <c r="O1198" s="253"/>
      <c r="P1198" s="253"/>
      <c r="Q1198" s="253"/>
      <c r="R1198" s="253"/>
      <c r="S1198" s="253"/>
      <c r="EH1198" s="348"/>
      <c r="HF1198" s="349"/>
      <c r="HG1198" s="350"/>
      <c r="IU1198" s="349">
        <v>43.71</v>
      </c>
      <c r="IV1198" s="351">
        <f>43.71*1.045</f>
        <v>45.68</v>
      </c>
    </row>
    <row r="1199" spans="1:256" s="347" customFormat="1" ht="26.25" hidden="1" customHeight="1" x14ac:dyDescent="0.2">
      <c r="A1199" s="404" t="s">
        <v>565</v>
      </c>
      <c r="B1199" s="381" t="s">
        <v>1572</v>
      </c>
      <c r="C1199" s="379" t="s">
        <v>1591</v>
      </c>
      <c r="D1199" s="263">
        <f>35.56*1.04</f>
        <v>36.979999999999997</v>
      </c>
      <c r="E1199" s="96">
        <f t="shared" si="72"/>
        <v>7.4</v>
      </c>
      <c r="F1199" s="154">
        <f>D1199+E1199</f>
        <v>44.38</v>
      </c>
      <c r="G1199" s="226"/>
      <c r="H1199" s="253"/>
      <c r="I1199" s="253"/>
      <c r="J1199" s="253"/>
      <c r="K1199" s="253"/>
      <c r="L1199" s="253"/>
      <c r="M1199" s="253"/>
      <c r="N1199" s="253"/>
      <c r="O1199" s="253"/>
      <c r="P1199" s="253"/>
      <c r="Q1199" s="253"/>
      <c r="R1199" s="253"/>
      <c r="S1199" s="253"/>
      <c r="EH1199" s="348"/>
      <c r="HF1199" s="349"/>
      <c r="HG1199" s="350"/>
      <c r="IU1199" s="349">
        <v>32.72</v>
      </c>
      <c r="IV1199" s="351">
        <f>32.72*1.045</f>
        <v>34.19</v>
      </c>
    </row>
    <row r="1200" spans="1:256" s="347" customFormat="1" ht="22.5" hidden="1" customHeight="1" x14ac:dyDescent="0.2">
      <c r="A1200" s="404" t="s">
        <v>567</v>
      </c>
      <c r="B1200" s="381" t="s">
        <v>1573</v>
      </c>
      <c r="C1200" s="379" t="s">
        <v>1592</v>
      </c>
      <c r="D1200" s="263">
        <f>1.04*1.04</f>
        <v>1.08</v>
      </c>
      <c r="E1200" s="96">
        <f t="shared" si="72"/>
        <v>0.22</v>
      </c>
      <c r="F1200" s="154">
        <f t="shared" si="73"/>
        <v>1.3</v>
      </c>
      <c r="G1200" s="226"/>
      <c r="H1200" s="253"/>
      <c r="I1200" s="253"/>
      <c r="J1200" s="253"/>
      <c r="K1200" s="253"/>
      <c r="L1200" s="253"/>
      <c r="M1200" s="253"/>
      <c r="N1200" s="253"/>
      <c r="O1200" s="253"/>
      <c r="P1200" s="253"/>
      <c r="Q1200" s="253"/>
      <c r="R1200" s="253"/>
      <c r="S1200" s="253"/>
      <c r="EH1200" s="354" t="s">
        <v>1593</v>
      </c>
      <c r="HF1200" s="349"/>
      <c r="HG1200" s="350"/>
      <c r="IU1200" s="349">
        <v>0.28999999999999998</v>
      </c>
      <c r="IV1200" s="351">
        <f>0.29*1.045</f>
        <v>0.3</v>
      </c>
    </row>
    <row r="1201" spans="1:256" s="347" customFormat="1" ht="18" hidden="1" customHeight="1" x14ac:dyDescent="0.2">
      <c r="A1201" s="404" t="s">
        <v>569</v>
      </c>
      <c r="B1201" s="381" t="s">
        <v>1594</v>
      </c>
      <c r="C1201" s="379" t="s">
        <v>1595</v>
      </c>
      <c r="D1201" s="263">
        <f>1.99*1.04</f>
        <v>2.0699999999999998</v>
      </c>
      <c r="E1201" s="96">
        <f t="shared" si="72"/>
        <v>0.41</v>
      </c>
      <c r="F1201" s="154">
        <f t="shared" si="73"/>
        <v>2.48</v>
      </c>
      <c r="G1201" s="226"/>
      <c r="H1201" s="253"/>
      <c r="I1201" s="253"/>
      <c r="J1201" s="253"/>
      <c r="K1201" s="253"/>
      <c r="L1201" s="253"/>
      <c r="M1201" s="253"/>
      <c r="N1201" s="253"/>
      <c r="O1201" s="253"/>
      <c r="P1201" s="253"/>
      <c r="Q1201" s="253"/>
      <c r="R1201" s="253"/>
      <c r="S1201" s="253"/>
      <c r="EH1201" s="348"/>
      <c r="HF1201" s="349"/>
      <c r="HG1201" s="350"/>
      <c r="IU1201" s="349">
        <v>1.83</v>
      </c>
      <c r="IV1201" s="351">
        <f>1.83*1.045</f>
        <v>1.91</v>
      </c>
    </row>
    <row r="1202" spans="1:256" s="347" customFormat="1" ht="17.25" hidden="1" customHeight="1" x14ac:dyDescent="0.2">
      <c r="A1202" s="404" t="s">
        <v>571</v>
      </c>
      <c r="B1202" s="381" t="s">
        <v>1596</v>
      </c>
      <c r="C1202" s="379" t="s">
        <v>1595</v>
      </c>
      <c r="D1202" s="263">
        <f>1.44*1.04</f>
        <v>1.5</v>
      </c>
      <c r="E1202" s="96">
        <f t="shared" si="72"/>
        <v>0.3</v>
      </c>
      <c r="F1202" s="154">
        <f t="shared" si="73"/>
        <v>1.8</v>
      </c>
      <c r="G1202" s="226"/>
      <c r="H1202" s="253"/>
      <c r="I1202" s="253"/>
      <c r="J1202" s="253"/>
      <c r="K1202" s="253"/>
      <c r="L1202" s="253"/>
      <c r="M1202" s="253"/>
      <c r="N1202" s="253"/>
      <c r="O1202" s="253"/>
      <c r="P1202" s="253"/>
      <c r="Q1202" s="253"/>
      <c r="R1202" s="253"/>
      <c r="S1202" s="253"/>
      <c r="EH1202" s="348"/>
      <c r="HF1202" s="349"/>
      <c r="HG1202" s="350"/>
      <c r="IU1202" s="349">
        <v>1.32</v>
      </c>
      <c r="IV1202" s="351">
        <f>1.32*1.045</f>
        <v>1.38</v>
      </c>
    </row>
    <row r="1203" spans="1:256" s="347" customFormat="1" ht="18.75" hidden="1" customHeight="1" x14ac:dyDescent="0.2">
      <c r="A1203" s="404" t="s">
        <v>573</v>
      </c>
      <c r="B1203" s="381" t="s">
        <v>1597</v>
      </c>
      <c r="C1203" s="379" t="s">
        <v>1598</v>
      </c>
      <c r="D1203" s="263">
        <f>132.83*1.04</f>
        <v>138.13999999999999</v>
      </c>
      <c r="E1203" s="96">
        <f t="shared" si="72"/>
        <v>27.63</v>
      </c>
      <c r="F1203" s="154">
        <f t="shared" si="73"/>
        <v>165.77</v>
      </c>
      <c r="G1203" s="226"/>
      <c r="H1203" s="253"/>
      <c r="I1203" s="253"/>
      <c r="J1203" s="253"/>
      <c r="K1203" s="253"/>
      <c r="L1203" s="253"/>
      <c r="M1203" s="253"/>
      <c r="N1203" s="253"/>
      <c r="O1203" s="253"/>
      <c r="P1203" s="253"/>
      <c r="Q1203" s="253"/>
      <c r="R1203" s="253"/>
      <c r="S1203" s="253"/>
      <c r="EH1203" s="348"/>
      <c r="HF1203" s="349"/>
      <c r="HG1203" s="350"/>
      <c r="IU1203" s="349">
        <v>122.22</v>
      </c>
      <c r="IV1203" s="351">
        <f>122.22*1.045</f>
        <v>127.72</v>
      </c>
    </row>
    <row r="1204" spans="1:256" s="347" customFormat="1" ht="23.25" hidden="1" customHeight="1" x14ac:dyDescent="0.2">
      <c r="A1204" s="108" t="s">
        <v>29</v>
      </c>
      <c r="B1204" s="430" t="s">
        <v>1599</v>
      </c>
      <c r="C1204" s="430"/>
      <c r="D1204" s="430"/>
      <c r="E1204" s="430"/>
      <c r="F1204" s="430"/>
      <c r="G1204" s="226"/>
      <c r="H1204" s="253"/>
      <c r="I1204" s="253"/>
      <c r="J1204" s="253"/>
      <c r="K1204" s="253"/>
      <c r="L1204" s="253"/>
      <c r="M1204" s="253"/>
      <c r="N1204" s="253"/>
      <c r="O1204" s="253"/>
      <c r="P1204" s="253"/>
      <c r="Q1204" s="253"/>
      <c r="R1204" s="253"/>
      <c r="S1204" s="253"/>
      <c r="EH1204" s="348"/>
      <c r="HG1204" s="350"/>
    </row>
    <row r="1205" spans="1:256" s="347" customFormat="1" ht="38.25" hidden="1" customHeight="1" x14ac:dyDescent="0.2">
      <c r="A1205" s="404" t="s">
        <v>578</v>
      </c>
      <c r="B1205" s="381" t="s">
        <v>1600</v>
      </c>
      <c r="C1205" s="379" t="s">
        <v>1591</v>
      </c>
      <c r="D1205" s="263">
        <f>23.15*1.04</f>
        <v>24.08</v>
      </c>
      <c r="E1205" s="96">
        <f>D1205*20%</f>
        <v>4.82</v>
      </c>
      <c r="F1205" s="154">
        <f>D1205+E1205</f>
        <v>28.9</v>
      </c>
      <c r="G1205" s="226"/>
      <c r="H1205" s="253"/>
      <c r="I1205" s="253"/>
      <c r="J1205" s="253"/>
      <c r="K1205" s="253"/>
      <c r="L1205" s="253"/>
      <c r="M1205" s="253"/>
      <c r="N1205" s="253"/>
      <c r="O1205" s="253"/>
      <c r="P1205" s="253"/>
      <c r="Q1205" s="253"/>
      <c r="R1205" s="253"/>
      <c r="S1205" s="253"/>
      <c r="EH1205" s="348"/>
      <c r="HF1205" s="349"/>
      <c r="HG1205" s="350"/>
      <c r="IU1205" s="349">
        <v>21.3</v>
      </c>
      <c r="IV1205" s="351">
        <f>21.3*1.045</f>
        <v>22.26</v>
      </c>
    </row>
    <row r="1206" spans="1:256" s="347" customFormat="1" ht="21" hidden="1" customHeight="1" x14ac:dyDescent="0.2">
      <c r="A1206" s="404" t="s">
        <v>580</v>
      </c>
      <c r="B1206" s="381" t="s">
        <v>1573</v>
      </c>
      <c r="C1206" s="379" t="s">
        <v>1592</v>
      </c>
      <c r="D1206" s="263">
        <f>0.15*1.04</f>
        <v>0.16</v>
      </c>
      <c r="E1206" s="96">
        <f>D1206*20%</f>
        <v>0.03</v>
      </c>
      <c r="F1206" s="154">
        <f>D1206+E1206</f>
        <v>0.19</v>
      </c>
      <c r="G1206" s="226"/>
      <c r="H1206" s="253"/>
      <c r="I1206" s="253"/>
      <c r="J1206" s="253"/>
      <c r="K1206" s="253"/>
      <c r="L1206" s="253"/>
      <c r="M1206" s="253"/>
      <c r="N1206" s="253"/>
      <c r="O1206" s="253"/>
      <c r="P1206" s="253"/>
      <c r="Q1206" s="253"/>
      <c r="R1206" s="253"/>
      <c r="S1206" s="253"/>
      <c r="EH1206" s="348"/>
      <c r="HF1206" s="349"/>
      <c r="HG1206" s="350"/>
      <c r="IU1206" s="349">
        <v>0.13</v>
      </c>
      <c r="IV1206" s="351">
        <f>0.13*1.045</f>
        <v>0.14000000000000001</v>
      </c>
    </row>
    <row r="1207" spans="1:256" s="347" customFormat="1" ht="41.25" hidden="1" customHeight="1" x14ac:dyDescent="0.2">
      <c r="A1207" s="404" t="s">
        <v>582</v>
      </c>
      <c r="B1207" s="381" t="s">
        <v>1601</v>
      </c>
      <c r="C1207" s="379" t="s">
        <v>1591</v>
      </c>
      <c r="D1207" s="263">
        <f>89.51*1.04</f>
        <v>93.09</v>
      </c>
      <c r="E1207" s="96">
        <f>D1207*20%</f>
        <v>18.62</v>
      </c>
      <c r="F1207" s="154">
        <f>D1207+E1207</f>
        <v>111.71</v>
      </c>
      <c r="G1207" s="226"/>
      <c r="H1207" s="253"/>
      <c r="I1207" s="253"/>
      <c r="J1207" s="253"/>
      <c r="K1207" s="253"/>
      <c r="L1207" s="253"/>
      <c r="M1207" s="253"/>
      <c r="N1207" s="253"/>
      <c r="O1207" s="253"/>
      <c r="P1207" s="253"/>
      <c r="Q1207" s="253"/>
      <c r="R1207" s="253"/>
      <c r="S1207" s="253"/>
      <c r="EH1207" s="348"/>
      <c r="HF1207" s="349"/>
      <c r="HG1207" s="350"/>
      <c r="IU1207" s="349">
        <v>82.36</v>
      </c>
      <c r="IV1207" s="351">
        <f>82.36*1.045</f>
        <v>86.07</v>
      </c>
    </row>
    <row r="1208" spans="1:256" s="347" customFormat="1" ht="66" hidden="1" customHeight="1" x14ac:dyDescent="0.2">
      <c r="A1208" s="108" t="s">
        <v>31</v>
      </c>
      <c r="B1208" s="397" t="s">
        <v>1602</v>
      </c>
      <c r="C1208" s="379" t="s">
        <v>1591</v>
      </c>
      <c r="D1208" s="263">
        <f>37.95*1.04</f>
        <v>39.47</v>
      </c>
      <c r="E1208" s="96">
        <f>D1208*20%</f>
        <v>7.89</v>
      </c>
      <c r="F1208" s="154">
        <f>D1208+E1208</f>
        <v>47.36</v>
      </c>
      <c r="G1208" s="226"/>
      <c r="H1208" s="253"/>
      <c r="I1208" s="253"/>
      <c r="J1208" s="253"/>
      <c r="K1208" s="253"/>
      <c r="L1208" s="253"/>
      <c r="M1208" s="253"/>
      <c r="N1208" s="253"/>
      <c r="O1208" s="253"/>
      <c r="P1208" s="253"/>
      <c r="Q1208" s="253"/>
      <c r="R1208" s="253"/>
      <c r="S1208" s="253"/>
      <c r="EH1208" s="348"/>
      <c r="HF1208" s="349"/>
      <c r="HG1208" s="350"/>
      <c r="IU1208" s="349">
        <v>34.92</v>
      </c>
      <c r="IV1208" s="351">
        <f>34.92*1.045</f>
        <v>36.49</v>
      </c>
    </row>
    <row r="1209" spans="1:256" s="347" customFormat="1" ht="16.5" hidden="1" customHeight="1" x14ac:dyDescent="0.2">
      <c r="A1209" s="108" t="s">
        <v>33</v>
      </c>
      <c r="B1209" s="430" t="s">
        <v>1603</v>
      </c>
      <c r="C1209" s="430"/>
      <c r="D1209" s="430"/>
      <c r="E1209" s="430"/>
      <c r="F1209" s="430"/>
      <c r="G1209" s="226"/>
      <c r="H1209" s="253"/>
      <c r="I1209" s="253"/>
      <c r="J1209" s="253"/>
      <c r="K1209" s="253"/>
      <c r="L1209" s="253"/>
      <c r="M1209" s="253"/>
      <c r="N1209" s="253"/>
      <c r="O1209" s="253"/>
      <c r="P1209" s="253"/>
      <c r="Q1209" s="253"/>
      <c r="R1209" s="253"/>
      <c r="S1209" s="253"/>
      <c r="EH1209" s="348"/>
      <c r="HG1209" s="350"/>
    </row>
    <row r="1210" spans="1:256" s="347" customFormat="1" ht="18" hidden="1" customHeight="1" x14ac:dyDescent="0.2">
      <c r="A1210" s="404" t="s">
        <v>639</v>
      </c>
      <c r="B1210" s="381" t="s">
        <v>1604</v>
      </c>
      <c r="C1210" s="379" t="s">
        <v>1591</v>
      </c>
      <c r="D1210" s="263">
        <f>5.01*1.04</f>
        <v>5.21</v>
      </c>
      <c r="E1210" s="96">
        <f>D1210*20%</f>
        <v>1.04</v>
      </c>
      <c r="F1210" s="154">
        <f>D1210+E1210</f>
        <v>6.25</v>
      </c>
      <c r="G1210" s="226"/>
      <c r="H1210" s="253"/>
      <c r="I1210" s="253"/>
      <c r="J1210" s="253"/>
      <c r="K1210" s="253"/>
      <c r="L1210" s="253"/>
      <c r="M1210" s="253"/>
      <c r="N1210" s="253"/>
      <c r="O1210" s="253"/>
      <c r="P1210" s="253"/>
      <c r="Q1210" s="253"/>
      <c r="R1210" s="253"/>
      <c r="S1210" s="253"/>
      <c r="EH1210" s="348"/>
      <c r="HF1210" s="349"/>
      <c r="HG1210" s="350"/>
      <c r="IU1210" s="349">
        <v>4.6100000000000003</v>
      </c>
      <c r="IV1210" s="351">
        <f>4.61*1.045</f>
        <v>4.82</v>
      </c>
    </row>
    <row r="1211" spans="1:256" s="347" customFormat="1" ht="19.5" hidden="1" customHeight="1" x14ac:dyDescent="0.2">
      <c r="A1211" s="404" t="s">
        <v>640</v>
      </c>
      <c r="B1211" s="381" t="s">
        <v>1605</v>
      </c>
      <c r="C1211" s="379" t="s">
        <v>1591</v>
      </c>
      <c r="D1211" s="263">
        <f>2.87*1.04</f>
        <v>2.98</v>
      </c>
      <c r="E1211" s="96">
        <f>D1211*20%</f>
        <v>0.6</v>
      </c>
      <c r="F1211" s="154">
        <f>D1211+E1211</f>
        <v>3.58</v>
      </c>
      <c r="G1211" s="226"/>
      <c r="H1211" s="253"/>
      <c r="I1211" s="253"/>
      <c r="J1211" s="253"/>
      <c r="K1211" s="253"/>
      <c r="L1211" s="253"/>
      <c r="M1211" s="253"/>
      <c r="N1211" s="253"/>
      <c r="O1211" s="253"/>
      <c r="P1211" s="253"/>
      <c r="Q1211" s="253"/>
      <c r="R1211" s="253"/>
      <c r="S1211" s="253"/>
      <c r="EH1211" s="348"/>
      <c r="HF1211" s="349"/>
      <c r="HG1211" s="350"/>
      <c r="IU1211" s="349">
        <v>2.64</v>
      </c>
      <c r="IV1211" s="351">
        <f>2.64*1.045</f>
        <v>2.76</v>
      </c>
    </row>
    <row r="1212" spans="1:256" s="347" customFormat="1" ht="18" hidden="1" customHeight="1" x14ac:dyDescent="0.2">
      <c r="A1212" s="404" t="s">
        <v>641</v>
      </c>
      <c r="B1212" s="381" t="s">
        <v>1606</v>
      </c>
      <c r="C1212" s="379" t="s">
        <v>1591</v>
      </c>
      <c r="D1212" s="263">
        <f>6.21*1.04</f>
        <v>6.46</v>
      </c>
      <c r="E1212" s="96">
        <f>D1212*20%</f>
        <v>1.29</v>
      </c>
      <c r="F1212" s="154">
        <f>D1212+E1212</f>
        <v>7.75</v>
      </c>
      <c r="G1212" s="226"/>
      <c r="H1212" s="253"/>
      <c r="I1212" s="253"/>
      <c r="J1212" s="253"/>
      <c r="K1212" s="253"/>
      <c r="L1212" s="253"/>
      <c r="M1212" s="253"/>
      <c r="N1212" s="253"/>
      <c r="O1212" s="253"/>
      <c r="P1212" s="253"/>
      <c r="Q1212" s="253"/>
      <c r="R1212" s="253"/>
      <c r="S1212" s="253"/>
      <c r="EH1212" s="348"/>
      <c r="HF1212" s="349"/>
      <c r="HG1212" s="350"/>
      <c r="IU1212" s="349">
        <v>5.71</v>
      </c>
      <c r="IV1212" s="351">
        <f>5.71*1.045</f>
        <v>5.97</v>
      </c>
    </row>
    <row r="1213" spans="1:256" s="347" customFormat="1" ht="23.25" hidden="1" customHeight="1" x14ac:dyDescent="0.2">
      <c r="A1213" s="404" t="s">
        <v>642</v>
      </c>
      <c r="B1213" s="381" t="s">
        <v>1607</v>
      </c>
      <c r="C1213" s="379" t="s">
        <v>1591</v>
      </c>
      <c r="D1213" s="263">
        <f>1.98*1.04</f>
        <v>2.06</v>
      </c>
      <c r="E1213" s="96">
        <f>D1213*20%</f>
        <v>0.41</v>
      </c>
      <c r="F1213" s="154">
        <f>D1213+E1213</f>
        <v>2.4700000000000002</v>
      </c>
      <c r="G1213" s="226"/>
      <c r="H1213" s="253"/>
      <c r="I1213" s="253"/>
      <c r="J1213" s="253"/>
      <c r="K1213" s="253"/>
      <c r="L1213" s="253"/>
      <c r="M1213" s="253"/>
      <c r="N1213" s="253"/>
      <c r="O1213" s="253"/>
      <c r="P1213" s="253"/>
      <c r="Q1213" s="253"/>
      <c r="R1213" s="253"/>
      <c r="S1213" s="253"/>
      <c r="EH1213" s="348"/>
      <c r="HF1213" s="349"/>
      <c r="HG1213" s="350"/>
      <c r="IU1213" s="349">
        <v>1.82</v>
      </c>
      <c r="IV1213" s="351">
        <f>1.82*1.045</f>
        <v>1.9</v>
      </c>
    </row>
    <row r="1214" spans="1:256" s="347" customFormat="1" ht="22.5" hidden="1" customHeight="1" x14ac:dyDescent="0.2">
      <c r="A1214" s="404" t="s">
        <v>644</v>
      </c>
      <c r="B1214" s="381" t="s">
        <v>1608</v>
      </c>
      <c r="C1214" s="379" t="s">
        <v>1591</v>
      </c>
      <c r="D1214" s="263">
        <f>6.21*1.04</f>
        <v>6.46</v>
      </c>
      <c r="E1214" s="96">
        <f>D1214*20%</f>
        <v>1.29</v>
      </c>
      <c r="F1214" s="154">
        <f>D1214+E1214</f>
        <v>7.75</v>
      </c>
      <c r="G1214" s="226"/>
      <c r="H1214" s="253"/>
      <c r="I1214" s="253"/>
      <c r="J1214" s="253"/>
      <c r="K1214" s="253"/>
      <c r="L1214" s="253"/>
      <c r="M1214" s="253"/>
      <c r="N1214" s="253"/>
      <c r="O1214" s="253"/>
      <c r="P1214" s="253"/>
      <c r="Q1214" s="253"/>
      <c r="R1214" s="253"/>
      <c r="S1214" s="253"/>
      <c r="EH1214" s="348"/>
      <c r="HF1214" s="349"/>
      <c r="HG1214" s="350"/>
      <c r="IU1214" s="349">
        <v>5.71</v>
      </c>
      <c r="IV1214" s="351">
        <f>5.71*1.045</f>
        <v>5.97</v>
      </c>
    </row>
    <row r="1215" spans="1:256" s="347" customFormat="1" ht="36.75" hidden="1" customHeight="1" x14ac:dyDescent="0.2">
      <c r="A1215" s="108" t="s">
        <v>35</v>
      </c>
      <c r="B1215" s="430" t="s">
        <v>1609</v>
      </c>
      <c r="C1215" s="430"/>
      <c r="D1215" s="430"/>
      <c r="E1215" s="430"/>
      <c r="F1215" s="430"/>
      <c r="G1215" s="226"/>
      <c r="H1215" s="253"/>
      <c r="I1215" s="253"/>
      <c r="J1215" s="253"/>
      <c r="K1215" s="253"/>
      <c r="L1215" s="253"/>
      <c r="M1215" s="253"/>
      <c r="N1215" s="253"/>
      <c r="O1215" s="253"/>
      <c r="P1215" s="253"/>
      <c r="Q1215" s="253"/>
      <c r="R1215" s="253"/>
      <c r="S1215" s="253"/>
      <c r="EH1215" s="348"/>
      <c r="HG1215" s="350"/>
    </row>
    <row r="1216" spans="1:256" s="347" customFormat="1" ht="18" hidden="1" customHeight="1" x14ac:dyDescent="0.2">
      <c r="A1216" s="404" t="s">
        <v>259</v>
      </c>
      <c r="B1216" s="381" t="s">
        <v>1610</v>
      </c>
      <c r="C1216" s="379" t="s">
        <v>1591</v>
      </c>
      <c r="D1216" s="263">
        <f>31.28*1.04</f>
        <v>32.53</v>
      </c>
      <c r="E1216" s="96">
        <f t="shared" ref="E1216:E1222" si="74">D1216*20%</f>
        <v>6.51</v>
      </c>
      <c r="F1216" s="154">
        <f t="shared" ref="F1216:F1222" si="75">D1216+E1216</f>
        <v>39.04</v>
      </c>
      <c r="G1216" s="226"/>
      <c r="H1216" s="253"/>
      <c r="I1216" s="253"/>
      <c r="J1216" s="253"/>
      <c r="K1216" s="253"/>
      <c r="L1216" s="253"/>
      <c r="M1216" s="253"/>
      <c r="N1216" s="253"/>
      <c r="O1216" s="253"/>
      <c r="P1216" s="253"/>
      <c r="Q1216" s="253"/>
      <c r="R1216" s="253"/>
      <c r="S1216" s="253"/>
      <c r="EH1216" s="348"/>
      <c r="HF1216" s="349"/>
      <c r="HG1216" s="350"/>
      <c r="IU1216" s="349">
        <v>28.78</v>
      </c>
      <c r="IV1216" s="351">
        <f>28.78*1.045</f>
        <v>30.08</v>
      </c>
    </row>
    <row r="1217" spans="1:256" s="347" customFormat="1" ht="18" hidden="1" customHeight="1" x14ac:dyDescent="0.2">
      <c r="A1217" s="404" t="s">
        <v>261</v>
      </c>
      <c r="B1217" s="381" t="s">
        <v>1611</v>
      </c>
      <c r="C1217" s="379" t="s">
        <v>1591</v>
      </c>
      <c r="D1217" s="263">
        <f>25.3*1.04</f>
        <v>26.31</v>
      </c>
      <c r="E1217" s="96">
        <f t="shared" si="74"/>
        <v>5.26</v>
      </c>
      <c r="F1217" s="154">
        <f t="shared" si="75"/>
        <v>31.57</v>
      </c>
      <c r="G1217" s="226"/>
      <c r="H1217" s="253"/>
      <c r="I1217" s="253"/>
      <c r="J1217" s="253"/>
      <c r="K1217" s="253"/>
      <c r="L1217" s="253"/>
      <c r="M1217" s="253"/>
      <c r="N1217" s="253"/>
      <c r="O1217" s="253"/>
      <c r="P1217" s="253"/>
      <c r="Q1217" s="253"/>
      <c r="R1217" s="253"/>
      <c r="S1217" s="253"/>
      <c r="EH1217" s="348"/>
      <c r="HF1217" s="349"/>
      <c r="HG1217" s="350"/>
      <c r="IU1217" s="349">
        <v>23.28</v>
      </c>
      <c r="IV1217" s="351">
        <f>23.28*1.045</f>
        <v>24.33</v>
      </c>
    </row>
    <row r="1218" spans="1:256" s="347" customFormat="1" ht="48" hidden="1" customHeight="1" x14ac:dyDescent="0.2">
      <c r="A1218" s="404" t="s">
        <v>652</v>
      </c>
      <c r="B1218" s="381" t="s">
        <v>1612</v>
      </c>
      <c r="C1218" s="379" t="s">
        <v>1591</v>
      </c>
      <c r="D1218" s="263">
        <f>59.2*1.04</f>
        <v>61.57</v>
      </c>
      <c r="E1218" s="96">
        <f t="shared" si="74"/>
        <v>12.31</v>
      </c>
      <c r="F1218" s="154">
        <f t="shared" si="75"/>
        <v>73.88</v>
      </c>
      <c r="G1218" s="226"/>
      <c r="H1218" s="253"/>
      <c r="I1218" s="253"/>
      <c r="J1218" s="253"/>
      <c r="K1218" s="253"/>
      <c r="L1218" s="253"/>
      <c r="M1218" s="253"/>
      <c r="N1218" s="253"/>
      <c r="O1218" s="253"/>
      <c r="P1218" s="253"/>
      <c r="Q1218" s="253"/>
      <c r="R1218" s="253"/>
      <c r="S1218" s="253"/>
      <c r="EH1218" s="348"/>
      <c r="HF1218" s="349"/>
      <c r="HG1218" s="350"/>
      <c r="IU1218" s="349">
        <v>54.47</v>
      </c>
      <c r="IV1218" s="351">
        <f>54.47*1.045</f>
        <v>56.92</v>
      </c>
    </row>
    <row r="1219" spans="1:256" s="347" customFormat="1" ht="37.5" hidden="1" customHeight="1" x14ac:dyDescent="0.2">
      <c r="A1219" s="404" t="s">
        <v>653</v>
      </c>
      <c r="B1219" s="381" t="s">
        <v>1613</v>
      </c>
      <c r="C1219" s="379" t="s">
        <v>1591</v>
      </c>
      <c r="D1219" s="263">
        <f>42.01*1.04</f>
        <v>43.69</v>
      </c>
      <c r="E1219" s="96">
        <f t="shared" si="74"/>
        <v>8.74</v>
      </c>
      <c r="F1219" s="154">
        <f>D1219+E1219</f>
        <v>52.43</v>
      </c>
      <c r="G1219" s="226"/>
      <c r="H1219" s="253"/>
      <c r="I1219" s="253"/>
      <c r="J1219" s="253"/>
      <c r="K1219" s="253"/>
      <c r="L1219" s="253"/>
      <c r="M1219" s="253"/>
      <c r="N1219" s="253"/>
      <c r="O1219" s="253"/>
      <c r="P1219" s="253"/>
      <c r="Q1219" s="253"/>
      <c r="R1219" s="253"/>
      <c r="S1219" s="253"/>
      <c r="EH1219" s="348"/>
      <c r="HF1219" s="349"/>
      <c r="HG1219" s="350"/>
      <c r="IU1219" s="349">
        <v>38.65</v>
      </c>
      <c r="IV1219" s="351">
        <f>38.65*1.045</f>
        <v>40.39</v>
      </c>
    </row>
    <row r="1220" spans="1:256" s="347" customFormat="1" ht="48" hidden="1" customHeight="1" x14ac:dyDescent="0.2">
      <c r="A1220" s="404" t="s">
        <v>655</v>
      </c>
      <c r="B1220" s="98" t="s">
        <v>1614</v>
      </c>
      <c r="C1220" s="379" t="s">
        <v>1598</v>
      </c>
      <c r="D1220" s="263">
        <f>15.28*1.04</f>
        <v>15.89</v>
      </c>
      <c r="E1220" s="96">
        <f t="shared" si="74"/>
        <v>3.18</v>
      </c>
      <c r="F1220" s="154">
        <f t="shared" si="75"/>
        <v>19.07</v>
      </c>
      <c r="G1220" s="226"/>
      <c r="H1220" s="253"/>
      <c r="I1220" s="253"/>
      <c r="J1220" s="253"/>
      <c r="K1220" s="253"/>
      <c r="L1220" s="253"/>
      <c r="M1220" s="253"/>
      <c r="N1220" s="253"/>
      <c r="O1220" s="253"/>
      <c r="P1220" s="253"/>
      <c r="Q1220" s="253"/>
      <c r="R1220" s="253"/>
      <c r="S1220" s="253"/>
      <c r="EH1220" s="348"/>
      <c r="HF1220" s="349"/>
      <c r="HG1220" s="350"/>
      <c r="IU1220" s="349">
        <v>14.06</v>
      </c>
      <c r="IV1220" s="351">
        <f>14.06*1.045</f>
        <v>14.69</v>
      </c>
    </row>
    <row r="1221" spans="1:256" s="347" customFormat="1" ht="48" hidden="1" customHeight="1" x14ac:dyDescent="0.2">
      <c r="A1221" s="404" t="s">
        <v>657</v>
      </c>
      <c r="B1221" s="381" t="s">
        <v>1615</v>
      </c>
      <c r="C1221" s="379" t="s">
        <v>1591</v>
      </c>
      <c r="D1221" s="263">
        <f>39.38*1.04</f>
        <v>40.96</v>
      </c>
      <c r="E1221" s="96">
        <f t="shared" si="74"/>
        <v>8.19</v>
      </c>
      <c r="F1221" s="154">
        <f t="shared" si="75"/>
        <v>49.15</v>
      </c>
      <c r="G1221" s="226"/>
      <c r="H1221" s="253"/>
      <c r="I1221" s="253"/>
      <c r="J1221" s="253"/>
      <c r="K1221" s="253"/>
      <c r="L1221" s="253"/>
      <c r="M1221" s="253"/>
      <c r="N1221" s="253"/>
      <c r="O1221" s="253"/>
      <c r="P1221" s="253"/>
      <c r="Q1221" s="253"/>
      <c r="R1221" s="253"/>
      <c r="S1221" s="253"/>
      <c r="EH1221" s="348"/>
      <c r="HF1221" s="349"/>
      <c r="HG1221" s="350"/>
      <c r="IU1221" s="349">
        <v>36.24</v>
      </c>
      <c r="IV1221" s="351">
        <f>36.24*1.045</f>
        <v>37.869999999999997</v>
      </c>
    </row>
    <row r="1222" spans="1:256" s="347" customFormat="1" ht="32.25" hidden="1" customHeight="1" x14ac:dyDescent="0.2">
      <c r="A1222" s="229" t="s">
        <v>37</v>
      </c>
      <c r="B1222" s="230" t="s">
        <v>1616</v>
      </c>
      <c r="C1222" s="315" t="s">
        <v>1026</v>
      </c>
      <c r="D1222" s="268">
        <f>207.47*1.04</f>
        <v>215.77</v>
      </c>
      <c r="E1222" s="96">
        <f t="shared" si="74"/>
        <v>43.15</v>
      </c>
      <c r="F1222" s="154">
        <f t="shared" si="75"/>
        <v>258.92</v>
      </c>
      <c r="G1222" s="226"/>
      <c r="H1222" s="253"/>
      <c r="I1222" s="253"/>
      <c r="J1222" s="253"/>
      <c r="K1222" s="253"/>
      <c r="L1222" s="253"/>
      <c r="M1222" s="253"/>
      <c r="N1222" s="253"/>
      <c r="O1222" s="253"/>
      <c r="P1222" s="253"/>
      <c r="Q1222" s="253"/>
      <c r="R1222" s="253"/>
      <c r="S1222" s="253"/>
      <c r="EH1222" s="348"/>
      <c r="HF1222" s="349"/>
      <c r="HG1222" s="350"/>
      <c r="IU1222" s="349">
        <v>190.9</v>
      </c>
      <c r="IV1222" s="351">
        <f>190.9*1.045</f>
        <v>199.49</v>
      </c>
    </row>
    <row r="1223" spans="1:256" s="347" customFormat="1" ht="42" customHeight="1" x14ac:dyDescent="0.2">
      <c r="A1223" s="429" t="s">
        <v>1846</v>
      </c>
      <c r="B1223" s="429"/>
      <c r="C1223" s="429"/>
      <c r="D1223" s="429"/>
      <c r="E1223" s="205"/>
      <c r="F1223" s="205"/>
      <c r="G1223" s="226"/>
      <c r="H1223" s="253"/>
      <c r="I1223" s="253"/>
      <c r="J1223" s="253"/>
      <c r="K1223" s="253"/>
      <c r="L1223" s="253"/>
      <c r="M1223" s="253"/>
      <c r="N1223" s="253"/>
      <c r="O1223" s="253"/>
      <c r="P1223" s="253"/>
      <c r="Q1223" s="253"/>
      <c r="R1223" s="253"/>
      <c r="S1223" s="253"/>
      <c r="EH1223" s="348"/>
      <c r="HG1223" s="350"/>
    </row>
    <row r="1224" spans="1:256" s="347" customFormat="1" ht="22.5" customHeight="1" x14ac:dyDescent="0.2">
      <c r="A1224" s="108" t="s">
        <v>14</v>
      </c>
      <c r="B1224" s="397" t="s">
        <v>1618</v>
      </c>
      <c r="C1224" s="379" t="s">
        <v>1530</v>
      </c>
      <c r="D1224" s="389">
        <f>180.35*1.055</f>
        <v>190.27</v>
      </c>
      <c r="E1224" s="96"/>
      <c r="F1224" s="154">
        <f>D1224+E1224</f>
        <v>190.27</v>
      </c>
      <c r="G1224" s="226"/>
      <c r="H1224" s="253"/>
      <c r="I1224" s="253"/>
      <c r="J1224" s="253"/>
      <c r="K1224" s="253"/>
      <c r="L1224" s="253"/>
      <c r="M1224" s="253"/>
      <c r="N1224" s="253"/>
      <c r="O1224" s="253"/>
      <c r="P1224" s="253"/>
      <c r="Q1224" s="253"/>
      <c r="R1224" s="253"/>
      <c r="S1224" s="253"/>
      <c r="EH1224" s="348"/>
      <c r="HF1224" s="349"/>
      <c r="HG1224" s="350"/>
    </row>
    <row r="1225" spans="1:256" s="347" customFormat="1" ht="21.75" customHeight="1" x14ac:dyDescent="0.2">
      <c r="A1225" s="108" t="s">
        <v>26</v>
      </c>
      <c r="B1225" s="430" t="s">
        <v>1619</v>
      </c>
      <c r="C1225" s="430"/>
      <c r="D1225" s="430"/>
      <c r="E1225" s="208"/>
      <c r="F1225" s="208"/>
      <c r="G1225" s="226"/>
      <c r="H1225" s="253"/>
      <c r="I1225" s="253"/>
      <c r="J1225" s="253"/>
      <c r="K1225" s="253"/>
      <c r="L1225" s="253"/>
      <c r="M1225" s="253"/>
      <c r="N1225" s="253"/>
      <c r="O1225" s="253"/>
      <c r="P1225" s="253"/>
      <c r="Q1225" s="253"/>
      <c r="R1225" s="253"/>
      <c r="S1225" s="253"/>
      <c r="EH1225" s="348"/>
      <c r="HG1225" s="350"/>
    </row>
    <row r="1226" spans="1:256" s="347" customFormat="1" ht="27.75" x14ac:dyDescent="0.2">
      <c r="A1226" s="404" t="s">
        <v>563</v>
      </c>
      <c r="B1226" s="179" t="s">
        <v>1620</v>
      </c>
      <c r="C1226" s="379" t="s">
        <v>1621</v>
      </c>
      <c r="D1226" s="389">
        <f>4.2*1.055</f>
        <v>4.43</v>
      </c>
      <c r="E1226" s="96"/>
      <c r="F1226" s="154">
        <f>D1226+E1226</f>
        <v>4.43</v>
      </c>
      <c r="G1226" s="226"/>
      <c r="H1226" s="253"/>
      <c r="I1226" s="253"/>
      <c r="J1226" s="253"/>
      <c r="K1226" s="253"/>
      <c r="L1226" s="253"/>
      <c r="M1226" s="253"/>
      <c r="N1226" s="253"/>
      <c r="O1226" s="253"/>
      <c r="P1226" s="253"/>
      <c r="Q1226" s="253"/>
      <c r="R1226" s="253"/>
      <c r="S1226" s="253"/>
      <c r="EH1226" s="348"/>
      <c r="HF1226" s="349"/>
      <c r="HG1226" s="350"/>
    </row>
    <row r="1227" spans="1:256" s="347" customFormat="1" ht="27.75" x14ac:dyDescent="0.2">
      <c r="A1227" s="404" t="s">
        <v>565</v>
      </c>
      <c r="B1227" s="179" t="s">
        <v>1622</v>
      </c>
      <c r="C1227" s="379" t="s">
        <v>1623</v>
      </c>
      <c r="D1227" s="389">
        <f>4.23*1.04*1.055</f>
        <v>4.6399999999999997</v>
      </c>
      <c r="E1227" s="96"/>
      <c r="F1227" s="154">
        <f>D1227+E1227</f>
        <v>4.6399999999999997</v>
      </c>
      <c r="G1227" s="226"/>
      <c r="H1227" s="253"/>
      <c r="I1227" s="253"/>
      <c r="J1227" s="253"/>
      <c r="K1227" s="253"/>
      <c r="L1227" s="253"/>
      <c r="M1227" s="253"/>
      <c r="N1227" s="253"/>
      <c r="O1227" s="253"/>
      <c r="P1227" s="253"/>
      <c r="Q1227" s="253"/>
      <c r="R1227" s="253"/>
      <c r="S1227" s="253"/>
      <c r="EH1227" s="348"/>
      <c r="HF1227" s="349"/>
      <c r="HG1227" s="350"/>
      <c r="IU1227" s="349">
        <v>3.74</v>
      </c>
      <c r="IV1227" s="351">
        <f>3.74*1.045</f>
        <v>3.91</v>
      </c>
    </row>
    <row r="1228" spans="1:256" s="347" customFormat="1" ht="42" customHeight="1" x14ac:dyDescent="0.2">
      <c r="A1228" s="108" t="s">
        <v>567</v>
      </c>
      <c r="B1228" s="179" t="s">
        <v>1624</v>
      </c>
      <c r="C1228" s="379" t="s">
        <v>1621</v>
      </c>
      <c r="D1228" s="389">
        <f>3.42*1.055</f>
        <v>3.61</v>
      </c>
      <c r="E1228" s="96"/>
      <c r="F1228" s="154">
        <f>D1228+E1228</f>
        <v>3.61</v>
      </c>
      <c r="G1228" s="226"/>
      <c r="H1228" s="253"/>
      <c r="I1228" s="253"/>
      <c r="J1228" s="253"/>
      <c r="K1228" s="253"/>
      <c r="L1228" s="253"/>
      <c r="M1228" s="253"/>
      <c r="N1228" s="253"/>
      <c r="O1228" s="253"/>
      <c r="P1228" s="253"/>
      <c r="Q1228" s="253"/>
      <c r="R1228" s="253"/>
      <c r="S1228" s="253"/>
      <c r="EH1228" s="348"/>
      <c r="HF1228" s="349"/>
      <c r="HG1228" s="350"/>
      <c r="IU1228" s="347">
        <v>1.54</v>
      </c>
      <c r="IV1228" s="350">
        <f>1.54*1.045</f>
        <v>1.61</v>
      </c>
    </row>
    <row r="1229" spans="1:256" s="347" customFormat="1" ht="15.75" x14ac:dyDescent="0.2">
      <c r="A1229" s="108" t="s">
        <v>29</v>
      </c>
      <c r="B1229" s="430" t="s">
        <v>1625</v>
      </c>
      <c r="C1229" s="430"/>
      <c r="D1229" s="430"/>
      <c r="E1229" s="208"/>
      <c r="F1229" s="208"/>
      <c r="G1229" s="226"/>
      <c r="H1229" s="253"/>
      <c r="I1229" s="253"/>
      <c r="J1229" s="253"/>
      <c r="K1229" s="253"/>
      <c r="L1229" s="253"/>
      <c r="M1229" s="253"/>
      <c r="N1229" s="253"/>
      <c r="O1229" s="253"/>
      <c r="P1229" s="253"/>
      <c r="Q1229" s="253"/>
      <c r="R1229" s="253"/>
      <c r="S1229" s="253"/>
      <c r="EH1229" s="348"/>
      <c r="HG1229" s="350"/>
    </row>
    <row r="1230" spans="1:256" s="347" customFormat="1" ht="20.25" hidden="1" customHeight="1" x14ac:dyDescent="0.2">
      <c r="A1230" s="404" t="s">
        <v>578</v>
      </c>
      <c r="B1230" s="179" t="s">
        <v>1626</v>
      </c>
      <c r="C1230" s="379" t="s">
        <v>1627</v>
      </c>
      <c r="D1230" s="263">
        <f>377.37*1.04</f>
        <v>392.46</v>
      </c>
      <c r="E1230" s="96">
        <f>D1230*20%</f>
        <v>78.489999999999995</v>
      </c>
      <c r="F1230" s="154">
        <f>D1230+E1230</f>
        <v>470.95</v>
      </c>
      <c r="G1230" s="226"/>
      <c r="H1230" s="253"/>
      <c r="I1230" s="253"/>
      <c r="J1230" s="253"/>
      <c r="K1230" s="253"/>
      <c r="L1230" s="253"/>
      <c r="M1230" s="253"/>
      <c r="N1230" s="253"/>
      <c r="O1230" s="253"/>
      <c r="P1230" s="253"/>
      <c r="Q1230" s="253"/>
      <c r="R1230" s="253"/>
      <c r="S1230" s="253"/>
      <c r="EH1230" s="348"/>
      <c r="HF1230" s="349"/>
      <c r="HG1230" s="350"/>
      <c r="IU1230" s="349">
        <v>347.23</v>
      </c>
      <c r="IV1230" s="351">
        <f>347.23*1.045</f>
        <v>362.86</v>
      </c>
    </row>
    <row r="1231" spans="1:256" s="347" customFormat="1" ht="21" customHeight="1" x14ac:dyDescent="0.2">
      <c r="A1231" s="404" t="s">
        <v>578</v>
      </c>
      <c r="B1231" s="179" t="s">
        <v>1628</v>
      </c>
      <c r="C1231" s="379" t="s">
        <v>1627</v>
      </c>
      <c r="D1231" s="389">
        <f>120.13*1.055</f>
        <v>126.74</v>
      </c>
      <c r="E1231" s="96"/>
      <c r="F1231" s="154">
        <f>D1231+E1231</f>
        <v>126.74</v>
      </c>
      <c r="G1231" s="226"/>
      <c r="H1231" s="253"/>
      <c r="I1231" s="253"/>
      <c r="J1231" s="253"/>
      <c r="K1231" s="253"/>
      <c r="L1231" s="253"/>
      <c r="M1231" s="253"/>
      <c r="N1231" s="253"/>
      <c r="O1231" s="253"/>
      <c r="P1231" s="253"/>
      <c r="Q1231" s="253"/>
      <c r="R1231" s="253"/>
      <c r="S1231" s="253"/>
      <c r="EH1231" s="348"/>
      <c r="HF1231" s="349"/>
      <c r="HG1231" s="350"/>
    </row>
    <row r="1232" spans="1:256" s="347" customFormat="1" ht="20.25" hidden="1" customHeight="1" x14ac:dyDescent="0.2">
      <c r="A1232" s="404" t="s">
        <v>582</v>
      </c>
      <c r="B1232" s="179" t="s">
        <v>1629</v>
      </c>
      <c r="C1232" s="379" t="s">
        <v>1627</v>
      </c>
      <c r="D1232" s="263">
        <f>96.67*1.04</f>
        <v>100.54</v>
      </c>
      <c r="E1232" s="96"/>
      <c r="F1232" s="154">
        <f>D1232+E1232</f>
        <v>100.54</v>
      </c>
      <c r="G1232" s="226"/>
      <c r="H1232" s="253"/>
      <c r="I1232" s="253"/>
      <c r="J1232" s="253"/>
      <c r="K1232" s="253"/>
      <c r="L1232" s="253"/>
      <c r="M1232" s="253"/>
      <c r="N1232" s="253"/>
      <c r="O1232" s="253"/>
      <c r="P1232" s="253"/>
      <c r="Q1232" s="253"/>
      <c r="R1232" s="253"/>
      <c r="S1232" s="253"/>
      <c r="EH1232" s="348"/>
      <c r="HF1232" s="349"/>
      <c r="HG1232" s="350"/>
      <c r="IU1232" s="349">
        <v>88.95</v>
      </c>
      <c r="IV1232" s="351">
        <f>88.95*1.045</f>
        <v>92.95</v>
      </c>
    </row>
    <row r="1233" spans="1:215" s="347" customFormat="1" ht="47.25" x14ac:dyDescent="0.2">
      <c r="A1233" s="404" t="s">
        <v>580</v>
      </c>
      <c r="B1233" s="381" t="s">
        <v>1630</v>
      </c>
      <c r="C1233" s="379" t="s">
        <v>1172</v>
      </c>
      <c r="D1233" s="389">
        <f>662.81*1.055</f>
        <v>699.26</v>
      </c>
      <c r="E1233" s="96"/>
      <c r="F1233" s="154">
        <f>D1233+E1233</f>
        <v>699.26</v>
      </c>
      <c r="G1233" s="226"/>
      <c r="H1233" s="253"/>
      <c r="I1233" s="253"/>
      <c r="J1233" s="253"/>
      <c r="K1233" s="253"/>
      <c r="L1233" s="253"/>
      <c r="M1233" s="253"/>
      <c r="N1233" s="253"/>
      <c r="O1233" s="253"/>
      <c r="P1233" s="253"/>
      <c r="Q1233" s="253"/>
      <c r="R1233" s="253"/>
      <c r="S1233" s="253"/>
      <c r="EH1233" s="348"/>
      <c r="HF1233" s="355"/>
      <c r="HG1233" s="350"/>
    </row>
    <row r="1234" spans="1:215" s="347" customFormat="1" ht="15.75" customHeight="1" x14ac:dyDescent="0.2">
      <c r="A1234" s="108" t="s">
        <v>31</v>
      </c>
      <c r="B1234" s="430" t="s">
        <v>1631</v>
      </c>
      <c r="C1234" s="430"/>
      <c r="D1234" s="430"/>
      <c r="E1234" s="208"/>
      <c r="F1234" s="208"/>
      <c r="G1234" s="226"/>
      <c r="H1234" s="253"/>
      <c r="I1234" s="253"/>
      <c r="J1234" s="253"/>
      <c r="K1234" s="253"/>
      <c r="L1234" s="253"/>
      <c r="M1234" s="253"/>
      <c r="N1234" s="253"/>
      <c r="O1234" s="253"/>
      <c r="P1234" s="253"/>
      <c r="Q1234" s="253"/>
      <c r="R1234" s="253"/>
      <c r="S1234" s="253"/>
      <c r="EH1234" s="348"/>
      <c r="HG1234" s="350"/>
    </row>
    <row r="1235" spans="1:215" s="347" customFormat="1" ht="48" customHeight="1" x14ac:dyDescent="0.2">
      <c r="A1235" s="108" t="s">
        <v>627</v>
      </c>
      <c r="B1235" s="381" t="s">
        <v>1632</v>
      </c>
      <c r="C1235" s="379" t="s">
        <v>1633</v>
      </c>
      <c r="D1235" s="389">
        <f>242.88*1.055</f>
        <v>256.24</v>
      </c>
      <c r="E1235" s="96"/>
      <c r="F1235" s="154">
        <f>D1235+E1235</f>
        <v>256.24</v>
      </c>
      <c r="G1235" s="226"/>
      <c r="H1235" s="253"/>
      <c r="I1235" s="253"/>
      <c r="J1235" s="253"/>
      <c r="K1235" s="253"/>
      <c r="L1235" s="253"/>
      <c r="M1235" s="253"/>
      <c r="N1235" s="253"/>
      <c r="O1235" s="253"/>
      <c r="P1235" s="253"/>
      <c r="Q1235" s="253"/>
      <c r="R1235" s="253"/>
      <c r="S1235" s="253"/>
      <c r="EH1235" s="348"/>
      <c r="HF1235" s="349"/>
      <c r="HG1235" s="350"/>
    </row>
    <row r="1236" spans="1:215" s="347" customFormat="1" ht="35.25" hidden="1" customHeight="1" x14ac:dyDescent="0.2">
      <c r="A1236" s="108" t="s">
        <v>628</v>
      </c>
      <c r="B1236" s="381" t="s">
        <v>1634</v>
      </c>
      <c r="C1236" s="379" t="s">
        <v>1633</v>
      </c>
      <c r="D1236" s="389">
        <f>265.65*1.04</f>
        <v>276.27999999999997</v>
      </c>
      <c r="E1236" s="96"/>
      <c r="F1236" s="154">
        <f>D1236+E1236</f>
        <v>276.27999999999997</v>
      </c>
      <c r="G1236" s="253"/>
      <c r="H1236" s="253"/>
      <c r="I1236" s="253"/>
      <c r="J1236" s="253"/>
      <c r="K1236" s="253"/>
      <c r="L1236" s="253"/>
      <c r="M1236" s="253"/>
      <c r="N1236" s="253"/>
      <c r="O1236" s="253"/>
      <c r="P1236" s="253"/>
      <c r="Q1236" s="253"/>
      <c r="R1236" s="253"/>
      <c r="S1236" s="253"/>
      <c r="EH1236" s="348"/>
      <c r="HF1236" s="349"/>
      <c r="HG1236" s="350"/>
    </row>
    <row r="1237" spans="1:215" s="347" customFormat="1" ht="62.25" customHeight="1" x14ac:dyDescent="0.2">
      <c r="A1237" s="108" t="s">
        <v>628</v>
      </c>
      <c r="B1237" s="381" t="s">
        <v>1635</v>
      </c>
      <c r="C1237" s="379" t="s">
        <v>1633</v>
      </c>
      <c r="D1237" s="389">
        <f>323.82*1.055</f>
        <v>341.63</v>
      </c>
      <c r="E1237" s="96"/>
      <c r="F1237" s="154">
        <f>D1237+E1237</f>
        <v>341.63</v>
      </c>
      <c r="G1237" s="226"/>
      <c r="H1237" s="253"/>
      <c r="I1237" s="253"/>
      <c r="J1237" s="253"/>
      <c r="K1237" s="253"/>
      <c r="L1237" s="253"/>
      <c r="M1237" s="253"/>
      <c r="N1237" s="253"/>
      <c r="O1237" s="253"/>
      <c r="P1237" s="253"/>
      <c r="Q1237" s="253"/>
      <c r="R1237" s="253"/>
      <c r="S1237" s="253"/>
      <c r="EH1237" s="348"/>
      <c r="HF1237" s="349"/>
      <c r="HG1237" s="350"/>
    </row>
    <row r="1238" spans="1:215" s="347" customFormat="1" ht="51.75" customHeight="1" x14ac:dyDescent="0.2">
      <c r="A1238" s="108" t="s">
        <v>629</v>
      </c>
      <c r="B1238" s="381" t="s">
        <v>1636</v>
      </c>
      <c r="C1238" s="379" t="s">
        <v>1633</v>
      </c>
      <c r="D1238" s="389">
        <f>357.51*1.055</f>
        <v>377.17</v>
      </c>
      <c r="E1238" s="96"/>
      <c r="F1238" s="154">
        <f>D1238+E1238</f>
        <v>377.17</v>
      </c>
      <c r="G1238" s="226"/>
      <c r="H1238" s="253"/>
      <c r="I1238" s="253"/>
      <c r="J1238" s="253"/>
      <c r="K1238" s="253"/>
      <c r="L1238" s="253"/>
      <c r="M1238" s="253"/>
      <c r="N1238" s="253"/>
      <c r="O1238" s="253"/>
      <c r="P1238" s="253"/>
      <c r="Q1238" s="253"/>
      <c r="R1238" s="253"/>
      <c r="S1238" s="253"/>
      <c r="EH1238" s="348"/>
      <c r="HF1238" s="349"/>
      <c r="HG1238" s="350"/>
    </row>
    <row r="1239" spans="1:215" s="347" customFormat="1" ht="44.25" customHeight="1" x14ac:dyDescent="0.2">
      <c r="A1239" s="108" t="s">
        <v>33</v>
      </c>
      <c r="B1239" s="381" t="s">
        <v>1637</v>
      </c>
      <c r="C1239" s="122" t="s">
        <v>228</v>
      </c>
      <c r="D1239" s="389">
        <v>2157.4299999999998</v>
      </c>
      <c r="E1239" s="96"/>
      <c r="F1239" s="154">
        <f>D1239+E1239</f>
        <v>2157.4299999999998</v>
      </c>
      <c r="G1239" s="253"/>
      <c r="H1239" s="253"/>
      <c r="I1239" s="253"/>
      <c r="J1239" s="253"/>
      <c r="K1239" s="253"/>
      <c r="L1239" s="253"/>
      <c r="M1239" s="253"/>
      <c r="N1239" s="253"/>
      <c r="O1239" s="253"/>
      <c r="P1239" s="253"/>
      <c r="Q1239" s="253"/>
      <c r="R1239" s="253"/>
      <c r="S1239" s="253"/>
      <c r="EH1239" s="348"/>
      <c r="HF1239" s="355"/>
      <c r="HG1239" s="350"/>
    </row>
    <row r="1240" spans="1:215" s="347" customFormat="1" ht="43.5" customHeight="1" x14ac:dyDescent="0.2">
      <c r="A1240" s="429" t="s">
        <v>1847</v>
      </c>
      <c r="B1240" s="429"/>
      <c r="C1240" s="429"/>
      <c r="D1240" s="429"/>
      <c r="E1240" s="205"/>
      <c r="F1240" s="205"/>
      <c r="G1240" s="226"/>
      <c r="H1240" s="253"/>
      <c r="I1240" s="253"/>
      <c r="J1240" s="253"/>
      <c r="K1240" s="253"/>
      <c r="L1240" s="253"/>
      <c r="M1240" s="253"/>
      <c r="N1240" s="253"/>
      <c r="O1240" s="253"/>
      <c r="P1240" s="253"/>
      <c r="Q1240" s="253"/>
      <c r="R1240" s="253"/>
      <c r="S1240" s="253"/>
      <c r="EH1240" s="348"/>
      <c r="HG1240" s="350"/>
    </row>
    <row r="1241" spans="1:215" s="347" customFormat="1" ht="69" customHeight="1" x14ac:dyDescent="0.2">
      <c r="A1241" s="108" t="s">
        <v>14</v>
      </c>
      <c r="B1241" s="509" t="s">
        <v>1639</v>
      </c>
      <c r="C1241" s="509"/>
      <c r="D1241" s="509"/>
      <c r="E1241" s="231"/>
      <c r="F1241" s="231"/>
      <c r="G1241" s="226"/>
      <c r="H1241" s="253"/>
      <c r="I1241" s="253"/>
      <c r="J1241" s="253"/>
      <c r="K1241" s="253"/>
      <c r="L1241" s="253"/>
      <c r="M1241" s="253"/>
      <c r="N1241" s="253"/>
      <c r="O1241" s="253"/>
      <c r="P1241" s="253"/>
      <c r="Q1241" s="253"/>
      <c r="R1241" s="253"/>
      <c r="S1241" s="253"/>
      <c r="EH1241" s="348"/>
      <c r="HG1241" s="350"/>
    </row>
    <row r="1242" spans="1:215" s="347" customFormat="1" ht="44.25" customHeight="1" x14ac:dyDescent="0.2">
      <c r="A1242" s="404" t="s">
        <v>200</v>
      </c>
      <c r="B1242" s="435" t="s">
        <v>1640</v>
      </c>
      <c r="C1242" s="435"/>
      <c r="D1242" s="435"/>
      <c r="E1242" s="208"/>
      <c r="F1242" s="208"/>
      <c r="G1242" s="226"/>
      <c r="H1242" s="253"/>
      <c r="I1242" s="253"/>
      <c r="J1242" s="253"/>
      <c r="K1242" s="253"/>
      <c r="L1242" s="253"/>
      <c r="M1242" s="253"/>
      <c r="N1242" s="253"/>
      <c r="O1242" s="253"/>
      <c r="P1242" s="253"/>
      <c r="Q1242" s="253"/>
      <c r="R1242" s="253"/>
      <c r="S1242" s="253"/>
      <c r="EH1242" s="348"/>
      <c r="HG1242" s="350"/>
    </row>
    <row r="1243" spans="1:215" s="347" customFormat="1" ht="17.25" hidden="1" customHeight="1" x14ac:dyDescent="0.2">
      <c r="A1243" s="108" t="s">
        <v>1337</v>
      </c>
      <c r="B1243" s="381" t="s">
        <v>1641</v>
      </c>
      <c r="C1243" s="379" t="s">
        <v>1627</v>
      </c>
      <c r="D1243" s="263">
        <f>47.51*1.04</f>
        <v>49.41</v>
      </c>
      <c r="E1243" s="96">
        <f>D1243*20%</f>
        <v>9.8800000000000008</v>
      </c>
      <c r="F1243" s="154">
        <f t="shared" ref="F1243:F1252" si="76">D1243+E1243</f>
        <v>59.29</v>
      </c>
      <c r="G1243" s="226"/>
      <c r="H1243" s="253"/>
      <c r="I1243" s="253"/>
      <c r="J1243" s="253"/>
      <c r="K1243" s="253"/>
      <c r="L1243" s="253"/>
      <c r="M1243" s="253"/>
      <c r="N1243" s="253"/>
      <c r="O1243" s="253"/>
      <c r="P1243" s="253"/>
      <c r="Q1243" s="253"/>
      <c r="R1243" s="253"/>
      <c r="S1243" s="253"/>
      <c r="EH1243" s="348"/>
      <c r="HF1243" s="349"/>
      <c r="HG1243" s="350"/>
    </row>
    <row r="1244" spans="1:215" s="347" customFormat="1" ht="16.5" customHeight="1" x14ac:dyDescent="0.2">
      <c r="A1244" s="108" t="s">
        <v>1339</v>
      </c>
      <c r="B1244" s="381" t="s">
        <v>1642</v>
      </c>
      <c r="C1244" s="379" t="s">
        <v>1627</v>
      </c>
      <c r="D1244" s="389">
        <f>57.02*1.055</f>
        <v>60.16</v>
      </c>
      <c r="E1244" s="96"/>
      <c r="F1244" s="154">
        <f t="shared" si="76"/>
        <v>60.16</v>
      </c>
      <c r="G1244" s="226"/>
      <c r="H1244" s="253"/>
      <c r="I1244" s="253"/>
      <c r="J1244" s="253"/>
      <c r="K1244" s="253"/>
      <c r="L1244" s="253"/>
      <c r="M1244" s="253"/>
      <c r="N1244" s="253"/>
      <c r="O1244" s="253"/>
      <c r="P1244" s="253"/>
      <c r="Q1244" s="253"/>
      <c r="R1244" s="253"/>
      <c r="S1244" s="253"/>
      <c r="EH1244" s="348"/>
      <c r="HF1244" s="349"/>
      <c r="HG1244" s="350"/>
    </row>
    <row r="1245" spans="1:215" s="347" customFormat="1" ht="16.5" customHeight="1" x14ac:dyDescent="0.2">
      <c r="A1245" s="108" t="s">
        <v>1341</v>
      </c>
      <c r="B1245" s="434" t="s">
        <v>1643</v>
      </c>
      <c r="C1245" s="434"/>
      <c r="D1245" s="434"/>
      <c r="E1245" s="232"/>
      <c r="F1245" s="232"/>
      <c r="G1245" s="226"/>
      <c r="H1245" s="253"/>
      <c r="I1245" s="253"/>
      <c r="J1245" s="253"/>
      <c r="K1245" s="253"/>
      <c r="L1245" s="253"/>
      <c r="M1245" s="253"/>
      <c r="N1245" s="253"/>
      <c r="O1245" s="253"/>
      <c r="P1245" s="253"/>
      <c r="Q1245" s="253"/>
      <c r="R1245" s="253"/>
      <c r="S1245" s="253"/>
      <c r="EH1245" s="348"/>
      <c r="HF1245" s="349"/>
      <c r="HG1245" s="350"/>
    </row>
    <row r="1246" spans="1:215" s="347" customFormat="1" ht="16.5" hidden="1" customHeight="1" x14ac:dyDescent="0.2">
      <c r="A1246" s="108" t="s">
        <v>1644</v>
      </c>
      <c r="B1246" s="381" t="s">
        <v>1645</v>
      </c>
      <c r="C1246" s="379" t="s">
        <v>1627</v>
      </c>
      <c r="D1246" s="263">
        <f>105.93</f>
        <v>105.93</v>
      </c>
      <c r="E1246" s="96">
        <f t="shared" ref="E1246:E1252" si="77">D1246*20%</f>
        <v>21.19</v>
      </c>
      <c r="F1246" s="154">
        <f>D1246+E1246</f>
        <v>127.12</v>
      </c>
      <c r="G1246" s="226"/>
      <c r="H1246" s="253"/>
      <c r="I1246" s="253"/>
      <c r="J1246" s="253"/>
      <c r="K1246" s="253"/>
      <c r="L1246" s="253"/>
      <c r="M1246" s="253"/>
      <c r="N1246" s="253"/>
      <c r="O1246" s="253"/>
      <c r="P1246" s="253"/>
      <c r="Q1246" s="253"/>
      <c r="R1246" s="253"/>
      <c r="S1246" s="253"/>
      <c r="EH1246" s="348"/>
      <c r="HF1246" s="349"/>
      <c r="HG1246" s="350"/>
    </row>
    <row r="1247" spans="1:215" s="347" customFormat="1" ht="16.5" hidden="1" customHeight="1" x14ac:dyDescent="0.2">
      <c r="A1247" s="108" t="s">
        <v>1646</v>
      </c>
      <c r="B1247" s="381" t="s">
        <v>1647</v>
      </c>
      <c r="C1247" s="379" t="s">
        <v>1627</v>
      </c>
      <c r="D1247" s="263">
        <f>86.44*1.04</f>
        <v>89.9</v>
      </c>
      <c r="E1247" s="96">
        <f t="shared" si="77"/>
        <v>17.98</v>
      </c>
      <c r="F1247" s="154">
        <f>D1247+E1247</f>
        <v>107.88</v>
      </c>
      <c r="G1247" s="226"/>
      <c r="H1247" s="253"/>
      <c r="I1247" s="253"/>
      <c r="J1247" s="253"/>
      <c r="K1247" s="253"/>
      <c r="L1247" s="253"/>
      <c r="M1247" s="253"/>
      <c r="N1247" s="253"/>
      <c r="O1247" s="253"/>
      <c r="P1247" s="253"/>
      <c r="Q1247" s="253"/>
      <c r="R1247" s="253"/>
      <c r="S1247" s="253"/>
      <c r="EH1247" s="348"/>
      <c r="HF1247" s="349"/>
      <c r="HG1247" s="350"/>
    </row>
    <row r="1248" spans="1:215" s="347" customFormat="1" ht="31.5" customHeight="1" x14ac:dyDescent="0.2">
      <c r="A1248" s="108" t="s">
        <v>204</v>
      </c>
      <c r="B1248" s="392" t="s">
        <v>1648</v>
      </c>
      <c r="C1248" s="379" t="s">
        <v>1627</v>
      </c>
      <c r="D1248" s="389">
        <f>231.48*1.055</f>
        <v>244.21</v>
      </c>
      <c r="E1248" s="96"/>
      <c r="F1248" s="154">
        <f t="shared" si="76"/>
        <v>244.21</v>
      </c>
      <c r="G1248" s="226"/>
      <c r="H1248" s="253"/>
      <c r="I1248" s="253"/>
      <c r="J1248" s="253"/>
      <c r="K1248" s="253"/>
      <c r="L1248" s="253"/>
      <c r="M1248" s="253"/>
      <c r="N1248" s="253"/>
      <c r="O1248" s="253"/>
      <c r="P1248" s="253"/>
      <c r="Q1248" s="253"/>
      <c r="R1248" s="253"/>
      <c r="S1248" s="253"/>
      <c r="EH1248" s="348"/>
      <c r="HF1248" s="349"/>
      <c r="HG1248" s="350"/>
    </row>
    <row r="1249" spans="1:256" s="347" customFormat="1" ht="31.5" customHeight="1" x14ac:dyDescent="0.2">
      <c r="A1249" s="108" t="s">
        <v>521</v>
      </c>
      <c r="B1249" s="392" t="s">
        <v>1649</v>
      </c>
      <c r="C1249" s="379" t="s">
        <v>1627</v>
      </c>
      <c r="D1249" s="389">
        <f>349.09*1.055</f>
        <v>368.29</v>
      </c>
      <c r="E1249" s="96"/>
      <c r="F1249" s="154">
        <f t="shared" si="76"/>
        <v>368.29</v>
      </c>
      <c r="G1249" s="226"/>
      <c r="H1249" s="253"/>
      <c r="I1249" s="253"/>
      <c r="J1249" s="253"/>
      <c r="K1249" s="253"/>
      <c r="L1249" s="253"/>
      <c r="M1249" s="253"/>
      <c r="N1249" s="253"/>
      <c r="O1249" s="253"/>
      <c r="P1249" s="253"/>
      <c r="Q1249" s="253"/>
      <c r="R1249" s="253"/>
      <c r="S1249" s="253"/>
      <c r="EH1249" s="348"/>
      <c r="GR1249" s="356"/>
      <c r="HF1249" s="349"/>
      <c r="HG1249" s="350"/>
    </row>
    <row r="1250" spans="1:256" s="347" customFormat="1" ht="30.75" customHeight="1" x14ac:dyDescent="0.2">
      <c r="A1250" s="108" t="s">
        <v>523</v>
      </c>
      <c r="B1250" s="392" t="s">
        <v>1650</v>
      </c>
      <c r="C1250" s="379" t="s">
        <v>1627</v>
      </c>
      <c r="D1250" s="389">
        <f>231.48*1.055</f>
        <v>244.21</v>
      </c>
      <c r="E1250" s="96"/>
      <c r="F1250" s="154">
        <f t="shared" si="76"/>
        <v>244.21</v>
      </c>
      <c r="G1250" s="226"/>
      <c r="H1250" s="253"/>
      <c r="I1250" s="253"/>
      <c r="J1250" s="253"/>
      <c r="K1250" s="253"/>
      <c r="L1250" s="253"/>
      <c r="M1250" s="253"/>
      <c r="N1250" s="253"/>
      <c r="O1250" s="253"/>
      <c r="P1250" s="253"/>
      <c r="Q1250" s="253"/>
      <c r="R1250" s="253"/>
      <c r="S1250" s="253"/>
      <c r="EH1250" s="348"/>
      <c r="HF1250" s="349"/>
      <c r="HG1250" s="350"/>
      <c r="IU1250" s="349">
        <v>197</v>
      </c>
      <c r="IV1250" s="351">
        <f>197*1.045</f>
        <v>205.87</v>
      </c>
    </row>
    <row r="1251" spans="1:256" s="347" customFormat="1" ht="21" customHeight="1" x14ac:dyDescent="0.2">
      <c r="A1251" s="108" t="s">
        <v>525</v>
      </c>
      <c r="B1251" s="392" t="s">
        <v>1651</v>
      </c>
      <c r="C1251" s="379" t="s">
        <v>1627</v>
      </c>
      <c r="D1251" s="389">
        <f>540.84*1.055</f>
        <v>570.59</v>
      </c>
      <c r="E1251" s="96"/>
      <c r="F1251" s="154">
        <f>D1251+E1251</f>
        <v>570.59</v>
      </c>
      <c r="G1251" s="226"/>
      <c r="H1251" s="253"/>
      <c r="I1251" s="253"/>
      <c r="J1251" s="253"/>
      <c r="K1251" s="253"/>
      <c r="L1251" s="253"/>
      <c r="M1251" s="253"/>
      <c r="N1251" s="253"/>
      <c r="O1251" s="253"/>
      <c r="P1251" s="253"/>
      <c r="Q1251" s="253"/>
      <c r="R1251" s="253"/>
      <c r="S1251" s="253"/>
      <c r="EH1251" s="348"/>
      <c r="HF1251" s="349"/>
      <c r="HG1251" s="350"/>
    </row>
    <row r="1252" spans="1:256" s="347" customFormat="1" ht="37.5" hidden="1" customHeight="1" x14ac:dyDescent="0.2">
      <c r="A1252" s="404" t="s">
        <v>527</v>
      </c>
      <c r="B1252" s="392" t="s">
        <v>1652</v>
      </c>
      <c r="C1252" s="379" t="s">
        <v>1627</v>
      </c>
      <c r="D1252" s="263">
        <f>181.67*1.04</f>
        <v>188.94</v>
      </c>
      <c r="E1252" s="96">
        <f t="shared" si="77"/>
        <v>37.79</v>
      </c>
      <c r="F1252" s="154">
        <f t="shared" si="76"/>
        <v>226.73</v>
      </c>
      <c r="G1252" s="226"/>
      <c r="H1252" s="253"/>
      <c r="I1252" s="253"/>
      <c r="J1252" s="253"/>
      <c r="K1252" s="253"/>
      <c r="L1252" s="253"/>
      <c r="M1252" s="253"/>
      <c r="N1252" s="253"/>
      <c r="O1252" s="253"/>
      <c r="P1252" s="253"/>
      <c r="Q1252" s="253"/>
      <c r="R1252" s="253"/>
      <c r="S1252" s="253"/>
      <c r="EH1252" s="348"/>
      <c r="HF1252" s="349"/>
      <c r="HG1252" s="350"/>
      <c r="IU1252" s="349">
        <v>167.16</v>
      </c>
      <c r="IV1252" s="351">
        <f>167.16*1.045</f>
        <v>174.68</v>
      </c>
    </row>
    <row r="1253" spans="1:256" s="347" customFormat="1" ht="21" customHeight="1" x14ac:dyDescent="0.2">
      <c r="A1253" s="108" t="s">
        <v>196</v>
      </c>
      <c r="B1253" s="431" t="s">
        <v>1653</v>
      </c>
      <c r="C1253" s="431"/>
      <c r="D1253" s="431"/>
      <c r="E1253" s="233"/>
      <c r="F1253" s="233"/>
      <c r="G1253" s="226"/>
      <c r="H1253" s="253"/>
      <c r="I1253" s="253"/>
      <c r="J1253" s="253"/>
      <c r="K1253" s="253"/>
      <c r="L1253" s="253"/>
      <c r="M1253" s="253"/>
      <c r="N1253" s="253"/>
      <c r="O1253" s="253"/>
      <c r="P1253" s="253"/>
      <c r="Q1253" s="253"/>
      <c r="R1253" s="253"/>
      <c r="S1253" s="253"/>
      <c r="EH1253" s="348"/>
      <c r="HG1253" s="350"/>
    </row>
    <row r="1254" spans="1:256" s="347" customFormat="1" ht="25.5" customHeight="1" x14ac:dyDescent="0.2">
      <c r="A1254" s="404" t="s">
        <v>563</v>
      </c>
      <c r="B1254" s="179" t="s">
        <v>1654</v>
      </c>
      <c r="C1254" s="379" t="s">
        <v>1627</v>
      </c>
      <c r="D1254" s="389">
        <f>220.3*1.055</f>
        <v>232.42</v>
      </c>
      <c r="E1254" s="96"/>
      <c r="F1254" s="154">
        <f t="shared" ref="F1254:F1263" si="78">D1254+E1254</f>
        <v>232.42</v>
      </c>
      <c r="G1254" s="226"/>
      <c r="H1254" s="253"/>
      <c r="I1254" s="253"/>
      <c r="J1254" s="253"/>
      <c r="K1254" s="253"/>
      <c r="L1254" s="253"/>
      <c r="M1254" s="253"/>
      <c r="N1254" s="253"/>
      <c r="O1254" s="253"/>
      <c r="P1254" s="253"/>
      <c r="Q1254" s="253"/>
      <c r="R1254" s="253"/>
      <c r="S1254" s="253"/>
      <c r="EH1254" s="348"/>
      <c r="HF1254" s="349"/>
      <c r="HG1254" s="350"/>
      <c r="IU1254" s="349">
        <v>182.51</v>
      </c>
      <c r="IV1254" s="351">
        <f>182.51*1.045</f>
        <v>190.72</v>
      </c>
    </row>
    <row r="1255" spans="1:256" s="347" customFormat="1" ht="35.25" hidden="1" customHeight="1" x14ac:dyDescent="0.2">
      <c r="A1255" s="404" t="s">
        <v>565</v>
      </c>
      <c r="B1255" s="179" t="s">
        <v>1655</v>
      </c>
      <c r="C1255" s="379" t="s">
        <v>1627</v>
      </c>
      <c r="D1255" s="263">
        <f>140.83*1.04</f>
        <v>146.46</v>
      </c>
      <c r="E1255" s="96">
        <f>D1255*20%</f>
        <v>29.29</v>
      </c>
      <c r="F1255" s="154">
        <f t="shared" si="78"/>
        <v>175.75</v>
      </c>
      <c r="G1255" s="226"/>
      <c r="H1255" s="253"/>
      <c r="I1255" s="253"/>
      <c r="J1255" s="253"/>
      <c r="K1255" s="253"/>
      <c r="L1255" s="253"/>
      <c r="M1255" s="253"/>
      <c r="N1255" s="253"/>
      <c r="O1255" s="253"/>
      <c r="P1255" s="253"/>
      <c r="Q1255" s="253"/>
      <c r="R1255" s="253"/>
      <c r="S1255" s="253"/>
      <c r="EH1255" s="348"/>
      <c r="HF1255" s="349"/>
      <c r="HG1255" s="350"/>
      <c r="IU1255" s="349">
        <v>129.58000000000001</v>
      </c>
      <c r="IV1255" s="351">
        <f>129.58*1.045</f>
        <v>135.41</v>
      </c>
    </row>
    <row r="1256" spans="1:256" s="347" customFormat="1" ht="71.25" hidden="1" customHeight="1" x14ac:dyDescent="0.2">
      <c r="A1256" s="108" t="s">
        <v>29</v>
      </c>
      <c r="B1256" s="397" t="s">
        <v>1656</v>
      </c>
      <c r="C1256" s="379" t="s">
        <v>236</v>
      </c>
      <c r="D1256" s="263">
        <f>1480.6*1.04</f>
        <v>1539.82</v>
      </c>
      <c r="E1256" s="96">
        <f>D1256*20%</f>
        <v>307.95999999999998</v>
      </c>
      <c r="F1256" s="154">
        <f t="shared" si="78"/>
        <v>1847.78</v>
      </c>
      <c r="G1256" s="226"/>
      <c r="H1256" s="253"/>
      <c r="I1256" s="253"/>
      <c r="J1256" s="253"/>
      <c r="K1256" s="253"/>
      <c r="L1256" s="253"/>
      <c r="M1256" s="253"/>
      <c r="N1256" s="253"/>
      <c r="O1256" s="253"/>
      <c r="P1256" s="253"/>
      <c r="Q1256" s="253"/>
      <c r="R1256" s="253"/>
      <c r="S1256" s="253"/>
      <c r="EH1256" s="348"/>
      <c r="HF1256" s="349"/>
      <c r="HG1256" s="350"/>
      <c r="IU1256" s="349">
        <v>1639.14</v>
      </c>
      <c r="IV1256" s="351">
        <f>1639.14*1.045</f>
        <v>1712.9</v>
      </c>
    </row>
    <row r="1257" spans="1:256" s="347" customFormat="1" ht="51" customHeight="1" x14ac:dyDescent="0.2">
      <c r="A1257" s="108" t="s">
        <v>29</v>
      </c>
      <c r="B1257" s="495" t="s">
        <v>1657</v>
      </c>
      <c r="C1257" s="495"/>
      <c r="D1257" s="495"/>
      <c r="E1257" s="208"/>
      <c r="F1257" s="208"/>
      <c r="G1257" s="226"/>
      <c r="H1257" s="253"/>
      <c r="I1257" s="253"/>
      <c r="J1257" s="253"/>
      <c r="K1257" s="253"/>
      <c r="L1257" s="253"/>
      <c r="M1257" s="253"/>
      <c r="N1257" s="253"/>
      <c r="O1257" s="253"/>
      <c r="P1257" s="253"/>
      <c r="Q1257" s="253"/>
      <c r="R1257" s="253"/>
      <c r="S1257" s="253"/>
      <c r="EH1257" s="348"/>
      <c r="HF1257" s="349"/>
      <c r="HG1257" s="350"/>
      <c r="IU1257" s="355"/>
      <c r="IV1257" s="351"/>
    </row>
    <row r="1258" spans="1:256" s="347" customFormat="1" ht="79.5" customHeight="1" x14ac:dyDescent="0.2">
      <c r="A1258" s="108" t="s">
        <v>578</v>
      </c>
      <c r="B1258" s="397" t="s">
        <v>2270</v>
      </c>
      <c r="C1258" s="379" t="s">
        <v>236</v>
      </c>
      <c r="D1258" s="389">
        <v>1955.95</v>
      </c>
      <c r="E1258" s="96"/>
      <c r="F1258" s="154">
        <f t="shared" si="78"/>
        <v>1955.95</v>
      </c>
      <c r="G1258" s="226"/>
      <c r="H1258" s="253"/>
      <c r="I1258" s="253"/>
      <c r="J1258" s="253"/>
      <c r="K1258" s="253"/>
      <c r="L1258" s="253"/>
      <c r="M1258" s="253"/>
      <c r="N1258" s="253"/>
      <c r="O1258" s="253"/>
      <c r="P1258" s="253"/>
      <c r="Q1258" s="253"/>
      <c r="R1258" s="304"/>
      <c r="S1258" s="253"/>
      <c r="EH1258" s="348"/>
      <c r="HF1258" s="349"/>
      <c r="HG1258" s="350"/>
      <c r="IU1258" s="355"/>
      <c r="IV1258" s="351"/>
    </row>
    <row r="1259" spans="1:256" s="347" customFormat="1" ht="80.25" customHeight="1" x14ac:dyDescent="0.2">
      <c r="A1259" s="108" t="s">
        <v>580</v>
      </c>
      <c r="B1259" s="397" t="s">
        <v>2271</v>
      </c>
      <c r="C1259" s="379" t="s">
        <v>236</v>
      </c>
      <c r="D1259" s="389">
        <v>1390.77</v>
      </c>
      <c r="E1259" s="96"/>
      <c r="F1259" s="154"/>
      <c r="G1259" s="226"/>
      <c r="H1259" s="253"/>
      <c r="I1259" s="253"/>
      <c r="J1259" s="253"/>
      <c r="K1259" s="253"/>
      <c r="L1259" s="253"/>
      <c r="M1259" s="253"/>
      <c r="N1259" s="253"/>
      <c r="O1259" s="253"/>
      <c r="P1259" s="253"/>
      <c r="Q1259" s="253"/>
      <c r="R1259" s="253"/>
      <c r="S1259" s="253"/>
      <c r="EH1259" s="348"/>
      <c r="HF1259" s="349"/>
      <c r="HG1259" s="350"/>
      <c r="IU1259" s="355"/>
      <c r="IV1259" s="351"/>
    </row>
    <row r="1260" spans="1:256" s="347" customFormat="1" ht="81" customHeight="1" x14ac:dyDescent="0.2">
      <c r="A1260" s="108" t="s">
        <v>582</v>
      </c>
      <c r="B1260" s="397" t="s">
        <v>2272</v>
      </c>
      <c r="C1260" s="379" t="s">
        <v>236</v>
      </c>
      <c r="D1260" s="389">
        <v>1961.15</v>
      </c>
      <c r="E1260" s="96"/>
      <c r="F1260" s="154"/>
      <c r="G1260" s="226"/>
      <c r="H1260" s="253"/>
      <c r="I1260" s="253"/>
      <c r="J1260" s="253"/>
      <c r="K1260" s="253"/>
      <c r="L1260" s="253"/>
      <c r="M1260" s="253"/>
      <c r="N1260" s="253"/>
      <c r="O1260" s="253"/>
      <c r="P1260" s="253"/>
      <c r="Q1260" s="253"/>
      <c r="R1260" s="253"/>
      <c r="S1260" s="253"/>
      <c r="EH1260" s="348"/>
      <c r="HF1260" s="349"/>
      <c r="HG1260" s="350"/>
      <c r="IU1260" s="355"/>
      <c r="IV1260" s="351"/>
    </row>
    <row r="1261" spans="1:256" s="347" customFormat="1" ht="80.25" customHeight="1" x14ac:dyDescent="0.2">
      <c r="A1261" s="108" t="s">
        <v>584</v>
      </c>
      <c r="B1261" s="397" t="s">
        <v>2273</v>
      </c>
      <c r="C1261" s="379" t="s">
        <v>236</v>
      </c>
      <c r="D1261" s="389">
        <v>1510.77</v>
      </c>
      <c r="E1261" s="96"/>
      <c r="F1261" s="154"/>
      <c r="G1261" s="226"/>
      <c r="H1261" s="253"/>
      <c r="I1261" s="253"/>
      <c r="J1261" s="253"/>
      <c r="K1261" s="253"/>
      <c r="L1261" s="253"/>
      <c r="M1261" s="253"/>
      <c r="N1261" s="253"/>
      <c r="O1261" s="253"/>
      <c r="P1261" s="253"/>
      <c r="Q1261" s="253"/>
      <c r="R1261" s="253"/>
      <c r="S1261" s="253"/>
      <c r="EH1261" s="348"/>
      <c r="HF1261" s="349"/>
      <c r="HG1261" s="350"/>
      <c r="IU1261" s="355"/>
      <c r="IV1261" s="351"/>
    </row>
    <row r="1262" spans="1:256" s="347" customFormat="1" ht="85.5" customHeight="1" x14ac:dyDescent="0.2">
      <c r="A1262" s="108" t="s">
        <v>586</v>
      </c>
      <c r="B1262" s="397" t="s">
        <v>2274</v>
      </c>
      <c r="C1262" s="379" t="s">
        <v>236</v>
      </c>
      <c r="D1262" s="389">
        <v>1955.95</v>
      </c>
      <c r="E1262" s="96"/>
      <c r="F1262" s="154">
        <f t="shared" si="78"/>
        <v>1955.95</v>
      </c>
      <c r="G1262" s="226"/>
      <c r="H1262" s="253"/>
      <c r="I1262" s="253"/>
      <c r="J1262" s="253"/>
      <c r="K1262" s="253"/>
      <c r="L1262" s="253"/>
      <c r="M1262" s="253"/>
      <c r="N1262" s="253"/>
      <c r="O1262" s="253"/>
      <c r="P1262" s="253"/>
      <c r="Q1262" s="253"/>
      <c r="R1262" s="253"/>
      <c r="S1262" s="253"/>
      <c r="EH1262" s="348"/>
      <c r="HF1262" s="349"/>
      <c r="HG1262" s="350"/>
      <c r="IU1262" s="355"/>
      <c r="IV1262" s="351"/>
    </row>
    <row r="1263" spans="1:256" s="347" customFormat="1" ht="81" customHeight="1" x14ac:dyDescent="0.2">
      <c r="A1263" s="108" t="s">
        <v>588</v>
      </c>
      <c r="B1263" s="397" t="s">
        <v>2275</v>
      </c>
      <c r="C1263" s="379" t="s">
        <v>236</v>
      </c>
      <c r="D1263" s="389">
        <v>1390.77</v>
      </c>
      <c r="E1263" s="96"/>
      <c r="F1263" s="154">
        <f t="shared" si="78"/>
        <v>1390.77</v>
      </c>
      <c r="G1263" s="226"/>
      <c r="H1263" s="253"/>
      <c r="I1263" s="253"/>
      <c r="J1263" s="253"/>
      <c r="K1263" s="253"/>
      <c r="L1263" s="253"/>
      <c r="M1263" s="253"/>
      <c r="N1263" s="253"/>
      <c r="O1263" s="253"/>
      <c r="P1263" s="253"/>
      <c r="Q1263" s="253"/>
      <c r="R1263" s="253"/>
      <c r="S1263" s="253"/>
      <c r="EH1263" s="348"/>
      <c r="HF1263" s="349"/>
      <c r="HG1263" s="350"/>
    </row>
    <row r="1264" spans="1:256" s="347" customFormat="1" ht="21" customHeight="1" x14ac:dyDescent="0.2">
      <c r="A1264" s="108" t="s">
        <v>31</v>
      </c>
      <c r="B1264" s="431" t="s">
        <v>1658</v>
      </c>
      <c r="C1264" s="431"/>
      <c r="D1264" s="431"/>
      <c r="E1264" s="233"/>
      <c r="F1264" s="233"/>
      <c r="G1264" s="226"/>
      <c r="H1264" s="253"/>
      <c r="I1264" s="253"/>
      <c r="J1264" s="253"/>
      <c r="K1264" s="253"/>
      <c r="L1264" s="253"/>
      <c r="M1264" s="253"/>
      <c r="N1264" s="253"/>
      <c r="O1264" s="253"/>
      <c r="P1264" s="253"/>
      <c r="Q1264" s="253"/>
      <c r="R1264" s="253"/>
      <c r="S1264" s="253"/>
      <c r="EH1264" s="348"/>
      <c r="HG1264" s="350"/>
    </row>
    <row r="1265" spans="1:256" s="347" customFormat="1" ht="33" customHeight="1" x14ac:dyDescent="0.2">
      <c r="A1265" s="108" t="s">
        <v>627</v>
      </c>
      <c r="B1265" s="381" t="s">
        <v>1659</v>
      </c>
      <c r="C1265" s="379" t="s">
        <v>1627</v>
      </c>
      <c r="D1265" s="389">
        <f>122.87*1.055</f>
        <v>129.63</v>
      </c>
      <c r="E1265" s="96"/>
      <c r="F1265" s="154">
        <f>D1265+E1265</f>
        <v>129.63</v>
      </c>
      <c r="G1265" s="226"/>
      <c r="H1265" s="253"/>
      <c r="I1265" s="253"/>
      <c r="J1265" s="253"/>
      <c r="K1265" s="253"/>
      <c r="L1265" s="253"/>
      <c r="M1265" s="253"/>
      <c r="N1265" s="253"/>
      <c r="O1265" s="253"/>
      <c r="P1265" s="253"/>
      <c r="Q1265" s="253"/>
      <c r="R1265" s="253"/>
      <c r="S1265" s="253"/>
      <c r="EH1265" s="348"/>
      <c r="HF1265" s="349"/>
      <c r="HG1265" s="350"/>
    </row>
    <row r="1266" spans="1:256" s="347" customFormat="1" ht="17.25" customHeight="1" x14ac:dyDescent="0.2">
      <c r="A1266" s="108" t="s">
        <v>33</v>
      </c>
      <c r="B1266" s="431" t="s">
        <v>1660</v>
      </c>
      <c r="C1266" s="431"/>
      <c r="D1266" s="431"/>
      <c r="E1266" s="233"/>
      <c r="F1266" s="233"/>
      <c r="G1266" s="226"/>
      <c r="H1266" s="253"/>
      <c r="I1266" s="253"/>
      <c r="J1266" s="253"/>
      <c r="K1266" s="253"/>
      <c r="L1266" s="253"/>
      <c r="M1266" s="253"/>
      <c r="N1266" s="253"/>
      <c r="O1266" s="253"/>
      <c r="P1266" s="253"/>
      <c r="Q1266" s="253"/>
      <c r="R1266" s="253"/>
      <c r="S1266" s="253"/>
      <c r="EH1266" s="348"/>
      <c r="HG1266" s="350"/>
    </row>
    <row r="1267" spans="1:256" s="347" customFormat="1" ht="19.5" customHeight="1" x14ac:dyDescent="0.2">
      <c r="A1267" s="108" t="s">
        <v>639</v>
      </c>
      <c r="B1267" s="381" t="s">
        <v>1661</v>
      </c>
      <c r="C1267" s="379" t="s">
        <v>1662</v>
      </c>
      <c r="D1267" s="389">
        <f>484.55*1.055</f>
        <v>511.2</v>
      </c>
      <c r="E1267" s="96"/>
      <c r="F1267" s="154">
        <f t="shared" ref="F1267:F1272" si="79">D1267+E1267</f>
        <v>511.2</v>
      </c>
      <c r="G1267" s="226"/>
      <c r="H1267" s="253"/>
      <c r="I1267" s="253"/>
      <c r="J1267" s="253"/>
      <c r="K1267" s="253"/>
      <c r="L1267" s="253"/>
      <c r="M1267" s="253"/>
      <c r="N1267" s="253"/>
      <c r="O1267" s="253"/>
      <c r="P1267" s="253"/>
      <c r="Q1267" s="253"/>
      <c r="R1267" s="253"/>
      <c r="S1267" s="253"/>
      <c r="EH1267" s="348"/>
      <c r="HF1267" s="349"/>
      <c r="HG1267" s="350"/>
    </row>
    <row r="1268" spans="1:256" s="347" customFormat="1" ht="34.5" customHeight="1" x14ac:dyDescent="0.2">
      <c r="A1268" s="108" t="s">
        <v>640</v>
      </c>
      <c r="B1268" s="381" t="s">
        <v>1663</v>
      </c>
      <c r="C1268" s="379" t="s">
        <v>1664</v>
      </c>
      <c r="D1268" s="389">
        <f>119.83*1.055</f>
        <v>126.42</v>
      </c>
      <c r="E1268" s="96"/>
      <c r="F1268" s="154">
        <f t="shared" si="79"/>
        <v>126.42</v>
      </c>
      <c r="G1268" s="226"/>
      <c r="H1268" s="253"/>
      <c r="I1268" s="253"/>
      <c r="J1268" s="253"/>
      <c r="K1268" s="253"/>
      <c r="L1268" s="253"/>
      <c r="M1268" s="253"/>
      <c r="N1268" s="253"/>
      <c r="O1268" s="253"/>
      <c r="P1268" s="253"/>
      <c r="Q1268" s="253"/>
      <c r="R1268" s="253"/>
      <c r="S1268" s="253"/>
      <c r="EH1268" s="348"/>
      <c r="HF1268" s="349"/>
      <c r="HG1268" s="350"/>
    </row>
    <row r="1269" spans="1:256" s="347" customFormat="1" ht="34.5" customHeight="1" x14ac:dyDescent="0.2">
      <c r="A1269" s="108" t="s">
        <v>35</v>
      </c>
      <c r="B1269" s="381" t="s">
        <v>1665</v>
      </c>
      <c r="C1269" s="122" t="s">
        <v>1666</v>
      </c>
      <c r="D1269" s="389">
        <v>958.95</v>
      </c>
      <c r="E1269" s="96"/>
      <c r="F1269" s="154">
        <f t="shared" si="79"/>
        <v>958.95</v>
      </c>
      <c r="G1269" s="253"/>
      <c r="H1269" s="253"/>
      <c r="I1269" s="253"/>
      <c r="J1269" s="253"/>
      <c r="K1269" s="253"/>
      <c r="L1269" s="253"/>
      <c r="M1269" s="253"/>
      <c r="N1269" s="253"/>
      <c r="O1269" s="253"/>
      <c r="P1269" s="253"/>
      <c r="Q1269" s="253"/>
      <c r="R1269" s="253"/>
      <c r="S1269" s="253"/>
      <c r="EH1269" s="348"/>
      <c r="HF1269" s="355"/>
      <c r="HG1269" s="350"/>
    </row>
    <row r="1270" spans="1:256" s="347" customFormat="1" ht="34.5" customHeight="1" x14ac:dyDescent="0.2">
      <c r="A1270" s="108" t="s">
        <v>37</v>
      </c>
      <c r="B1270" s="381" t="s">
        <v>1667</v>
      </c>
      <c r="C1270" s="122" t="s">
        <v>1666</v>
      </c>
      <c r="D1270" s="389">
        <f>2394.38*1.055</f>
        <v>2526.0700000000002</v>
      </c>
      <c r="E1270" s="96"/>
      <c r="F1270" s="154">
        <f t="shared" si="79"/>
        <v>2526.0700000000002</v>
      </c>
      <c r="G1270" s="253"/>
      <c r="H1270" s="253"/>
      <c r="I1270" s="253"/>
      <c r="J1270" s="253"/>
      <c r="K1270" s="253"/>
      <c r="L1270" s="253"/>
      <c r="M1270" s="253"/>
      <c r="N1270" s="253"/>
      <c r="O1270" s="253"/>
      <c r="P1270" s="253"/>
      <c r="Q1270" s="253"/>
      <c r="R1270" s="253"/>
      <c r="S1270" s="253"/>
      <c r="EH1270" s="348"/>
      <c r="HF1270" s="355"/>
      <c r="HG1270" s="350"/>
    </row>
    <row r="1271" spans="1:256" s="347" customFormat="1" ht="34.5" customHeight="1" x14ac:dyDescent="0.2">
      <c r="A1271" s="108" t="s">
        <v>39</v>
      </c>
      <c r="B1271" s="381" t="s">
        <v>1668</v>
      </c>
      <c r="C1271" s="122" t="s">
        <v>1666</v>
      </c>
      <c r="D1271" s="389">
        <f>2538.36*1.055</f>
        <v>2677.97</v>
      </c>
      <c r="E1271" s="96"/>
      <c r="F1271" s="154">
        <f t="shared" si="79"/>
        <v>2677.97</v>
      </c>
      <c r="G1271" s="226"/>
      <c r="H1271" s="253"/>
      <c r="I1271" s="253"/>
      <c r="J1271" s="253"/>
      <c r="K1271" s="253"/>
      <c r="L1271" s="253"/>
      <c r="M1271" s="253"/>
      <c r="N1271" s="253"/>
      <c r="O1271" s="253"/>
      <c r="P1271" s="253"/>
      <c r="Q1271" s="253"/>
      <c r="R1271" s="253"/>
      <c r="S1271" s="253"/>
      <c r="EH1271" s="348"/>
      <c r="HF1271" s="355"/>
      <c r="HG1271" s="350"/>
    </row>
    <row r="1272" spans="1:256" s="347" customFormat="1" ht="34.5" customHeight="1" x14ac:dyDescent="0.2">
      <c r="A1272" s="108" t="s">
        <v>41</v>
      </c>
      <c r="B1272" s="381" t="s">
        <v>1669</v>
      </c>
      <c r="C1272" s="122" t="s">
        <v>1666</v>
      </c>
      <c r="D1272" s="389">
        <f>643.14*1.055</f>
        <v>678.51</v>
      </c>
      <c r="E1272" s="96"/>
      <c r="F1272" s="154">
        <f t="shared" si="79"/>
        <v>678.51</v>
      </c>
      <c r="G1272" s="253"/>
      <c r="H1272" s="253"/>
      <c r="I1272" s="253"/>
      <c r="J1272" s="253"/>
      <c r="K1272" s="253"/>
      <c r="L1272" s="253"/>
      <c r="M1272" s="253"/>
      <c r="N1272" s="253"/>
      <c r="O1272" s="253"/>
      <c r="P1272" s="253"/>
      <c r="Q1272" s="253"/>
      <c r="R1272" s="253"/>
      <c r="S1272" s="253"/>
      <c r="EH1272" s="348"/>
      <c r="HF1272" s="355"/>
      <c r="HG1272" s="350"/>
    </row>
    <row r="1273" spans="1:256" s="347" customFormat="1" ht="38.25" customHeight="1" x14ac:dyDescent="0.2">
      <c r="A1273" s="429" t="s">
        <v>1848</v>
      </c>
      <c r="B1273" s="429"/>
      <c r="C1273" s="429"/>
      <c r="D1273" s="429"/>
      <c r="E1273" s="205"/>
      <c r="F1273" s="205"/>
      <c r="G1273" s="226"/>
      <c r="H1273" s="253"/>
      <c r="I1273" s="253"/>
      <c r="J1273" s="253"/>
      <c r="K1273" s="253"/>
      <c r="L1273" s="253"/>
      <c r="M1273" s="253"/>
      <c r="N1273" s="253"/>
      <c r="O1273" s="253"/>
      <c r="P1273" s="253"/>
      <c r="Q1273" s="253"/>
      <c r="R1273" s="253"/>
      <c r="S1273" s="253"/>
      <c r="EH1273" s="348"/>
      <c r="HG1273" s="350"/>
    </row>
    <row r="1274" spans="1:256" s="347" customFormat="1" ht="33" customHeight="1" x14ac:dyDescent="0.2">
      <c r="A1274" s="108" t="s">
        <v>14</v>
      </c>
      <c r="B1274" s="397" t="s">
        <v>1671</v>
      </c>
      <c r="C1274" s="379" t="s">
        <v>1627</v>
      </c>
      <c r="D1274" s="389">
        <f>251.18*1.055</f>
        <v>264.99</v>
      </c>
      <c r="E1274" s="96"/>
      <c r="F1274" s="154">
        <f>D1274+E1274</f>
        <v>264.99</v>
      </c>
      <c r="G1274" s="226"/>
      <c r="H1274" s="253"/>
      <c r="I1274" s="253"/>
      <c r="J1274" s="253"/>
      <c r="K1274" s="253"/>
      <c r="L1274" s="253"/>
      <c r="M1274" s="253"/>
      <c r="N1274" s="253"/>
      <c r="O1274" s="253"/>
      <c r="P1274" s="253"/>
      <c r="Q1274" s="253"/>
      <c r="R1274" s="253"/>
      <c r="S1274" s="253"/>
      <c r="EH1274" s="348"/>
      <c r="HF1274" s="355"/>
      <c r="HG1274" s="350"/>
    </row>
    <row r="1275" spans="1:256" s="347" customFormat="1" ht="18" customHeight="1" x14ac:dyDescent="0.2">
      <c r="A1275" s="108" t="s">
        <v>26</v>
      </c>
      <c r="B1275" s="430" t="s">
        <v>1672</v>
      </c>
      <c r="C1275" s="430"/>
      <c r="D1275" s="430"/>
      <c r="E1275" s="208"/>
      <c r="F1275" s="208"/>
      <c r="G1275" s="226"/>
      <c r="H1275" s="253"/>
      <c r="I1275" s="253"/>
      <c r="J1275" s="253"/>
      <c r="K1275" s="253"/>
      <c r="L1275" s="253"/>
      <c r="M1275" s="253"/>
      <c r="N1275" s="253"/>
      <c r="O1275" s="253"/>
      <c r="P1275" s="253"/>
      <c r="Q1275" s="253"/>
      <c r="R1275" s="253"/>
      <c r="S1275" s="253"/>
      <c r="EH1275" s="348"/>
      <c r="HG1275" s="350"/>
    </row>
    <row r="1276" spans="1:256" s="347" customFormat="1" ht="20.25" customHeight="1" x14ac:dyDescent="0.2">
      <c r="A1276" s="108" t="s">
        <v>563</v>
      </c>
      <c r="B1276" s="179" t="s">
        <v>1673</v>
      </c>
      <c r="C1276" s="379" t="s">
        <v>1627</v>
      </c>
      <c r="D1276" s="389">
        <f>134.83*1.055</f>
        <v>142.25</v>
      </c>
      <c r="E1276" s="96"/>
      <c r="F1276" s="154">
        <f>D1276+E1276</f>
        <v>142.25</v>
      </c>
      <c r="G1276" s="226"/>
      <c r="H1276" s="253"/>
      <c r="I1276" s="253"/>
      <c r="J1276" s="253"/>
      <c r="K1276" s="253"/>
      <c r="L1276" s="253"/>
      <c r="M1276" s="253"/>
      <c r="N1276" s="253"/>
      <c r="O1276" s="253"/>
      <c r="P1276" s="253"/>
      <c r="Q1276" s="253"/>
      <c r="R1276" s="253"/>
      <c r="S1276" s="253"/>
      <c r="EH1276" s="348"/>
      <c r="HF1276" s="349"/>
      <c r="HG1276" s="350"/>
    </row>
    <row r="1277" spans="1:256" s="347" customFormat="1" ht="15.75" hidden="1" customHeight="1" x14ac:dyDescent="0.2">
      <c r="A1277" s="404" t="s">
        <v>565</v>
      </c>
      <c r="B1277" s="179" t="s">
        <v>1674</v>
      </c>
      <c r="C1277" s="379" t="s">
        <v>1627</v>
      </c>
      <c r="D1277" s="263">
        <f>132.24*1.04</f>
        <v>137.53</v>
      </c>
      <c r="E1277" s="96">
        <f>D1277*20%</f>
        <v>27.51</v>
      </c>
      <c r="F1277" s="154">
        <f>D1277+E1277</f>
        <v>165.04</v>
      </c>
      <c r="G1277" s="226"/>
      <c r="H1277" s="253"/>
      <c r="I1277" s="253"/>
      <c r="J1277" s="253"/>
      <c r="K1277" s="253"/>
      <c r="L1277" s="253"/>
      <c r="M1277" s="253"/>
      <c r="N1277" s="253"/>
      <c r="O1277" s="253"/>
      <c r="P1277" s="253"/>
      <c r="Q1277" s="253"/>
      <c r="R1277" s="253"/>
      <c r="S1277" s="253"/>
      <c r="EH1277" s="348"/>
      <c r="HF1277" s="349"/>
      <c r="HG1277" s="350"/>
      <c r="IU1277" s="349">
        <v>121.67</v>
      </c>
      <c r="IV1277" s="351">
        <f>121.67*1.045</f>
        <v>127.15</v>
      </c>
    </row>
    <row r="1278" spans="1:256" s="347" customFormat="1" ht="17.25" hidden="1" customHeight="1" x14ac:dyDescent="0.2">
      <c r="A1278" s="404" t="s">
        <v>567</v>
      </c>
      <c r="B1278" s="179" t="s">
        <v>1675</v>
      </c>
      <c r="C1278" s="379" t="s">
        <v>1627</v>
      </c>
      <c r="D1278" s="263">
        <f>127.46*1.04</f>
        <v>132.56</v>
      </c>
      <c r="E1278" s="96">
        <f>D1278*20%</f>
        <v>26.51</v>
      </c>
      <c r="F1278" s="154">
        <f>D1278+E1278</f>
        <v>159.07</v>
      </c>
      <c r="G1278" s="226"/>
      <c r="H1278" s="253"/>
      <c r="I1278" s="253"/>
      <c r="J1278" s="253"/>
      <c r="K1278" s="253"/>
      <c r="L1278" s="253"/>
      <c r="M1278" s="253"/>
      <c r="N1278" s="253"/>
      <c r="O1278" s="253"/>
      <c r="P1278" s="253"/>
      <c r="Q1278" s="253"/>
      <c r="R1278" s="253"/>
      <c r="S1278" s="253"/>
      <c r="EH1278" s="348"/>
      <c r="HF1278" s="349"/>
      <c r="HG1278" s="350"/>
      <c r="IU1278" s="349">
        <v>117.28</v>
      </c>
      <c r="IV1278" s="351">
        <f>117.28*1.045</f>
        <v>122.56</v>
      </c>
    </row>
    <row r="1279" spans="1:256" s="347" customFormat="1" ht="23.25" hidden="1" customHeight="1" x14ac:dyDescent="0.2">
      <c r="A1279" s="108" t="s">
        <v>29</v>
      </c>
      <c r="B1279" s="432" t="s">
        <v>1676</v>
      </c>
      <c r="C1279" s="432"/>
      <c r="D1279" s="432"/>
      <c r="E1279" s="432"/>
      <c r="F1279" s="432"/>
      <c r="G1279" s="226"/>
      <c r="H1279" s="253"/>
      <c r="I1279" s="253"/>
      <c r="J1279" s="253"/>
      <c r="K1279" s="253"/>
      <c r="L1279" s="253"/>
      <c r="M1279" s="253"/>
      <c r="N1279" s="253"/>
      <c r="O1279" s="253"/>
      <c r="P1279" s="253"/>
      <c r="Q1279" s="253"/>
      <c r="R1279" s="253"/>
      <c r="S1279" s="253"/>
      <c r="EH1279" s="348"/>
      <c r="HG1279" s="350"/>
    </row>
    <row r="1280" spans="1:256" s="347" customFormat="1" ht="24.75" hidden="1" customHeight="1" x14ac:dyDescent="0.2">
      <c r="A1280" s="404" t="s">
        <v>578</v>
      </c>
      <c r="B1280" s="392" t="s">
        <v>1677</v>
      </c>
      <c r="C1280" s="379" t="s">
        <v>1627</v>
      </c>
      <c r="D1280" s="263">
        <f>31.04*1.04</f>
        <v>32.28</v>
      </c>
      <c r="E1280" s="96">
        <f>D1280*20%</f>
        <v>6.46</v>
      </c>
      <c r="F1280" s="154">
        <f>D1280+E1280</f>
        <v>38.74</v>
      </c>
      <c r="G1280" s="226"/>
      <c r="H1280" s="253"/>
      <c r="I1280" s="253"/>
      <c r="J1280" s="253"/>
      <c r="K1280" s="253"/>
      <c r="L1280" s="253"/>
      <c r="M1280" s="253"/>
      <c r="N1280" s="253"/>
      <c r="O1280" s="253"/>
      <c r="P1280" s="253"/>
      <c r="Q1280" s="253"/>
      <c r="R1280" s="253"/>
      <c r="S1280" s="253"/>
      <c r="EH1280" s="348"/>
      <c r="HF1280" s="349"/>
      <c r="HG1280" s="350"/>
      <c r="IU1280" s="349">
        <v>28.56</v>
      </c>
      <c r="IV1280" s="351">
        <f>28.56*1.045</f>
        <v>29.85</v>
      </c>
    </row>
    <row r="1281" spans="1:256" s="347" customFormat="1" ht="26.25" hidden="1" customHeight="1" x14ac:dyDescent="0.2">
      <c r="A1281" s="404" t="s">
        <v>580</v>
      </c>
      <c r="B1281" s="98" t="s">
        <v>1678</v>
      </c>
      <c r="C1281" s="379" t="s">
        <v>1627</v>
      </c>
      <c r="D1281" s="263">
        <f>67.56*1.04</f>
        <v>70.260000000000005</v>
      </c>
      <c r="E1281" s="96">
        <f>D1281*20%</f>
        <v>14.05</v>
      </c>
      <c r="F1281" s="154">
        <f t="shared" ref="F1281:F1289" si="80">D1281+E1281</f>
        <v>84.31</v>
      </c>
      <c r="G1281" s="226"/>
      <c r="H1281" s="253"/>
      <c r="I1281" s="253"/>
      <c r="J1281" s="253"/>
      <c r="K1281" s="253"/>
      <c r="L1281" s="253"/>
      <c r="M1281" s="253"/>
      <c r="N1281" s="253"/>
      <c r="O1281" s="253"/>
      <c r="P1281" s="253"/>
      <c r="Q1281" s="253"/>
      <c r="R1281" s="253"/>
      <c r="S1281" s="253"/>
      <c r="EH1281" s="348"/>
      <c r="HF1281" s="349"/>
      <c r="HG1281" s="350"/>
      <c r="IU1281" s="349">
        <v>62.16</v>
      </c>
      <c r="IV1281" s="351">
        <f>62.16*1.045</f>
        <v>64.959999999999994</v>
      </c>
    </row>
    <row r="1282" spans="1:256" s="347" customFormat="1" ht="21.75" hidden="1" customHeight="1" x14ac:dyDescent="0.2">
      <c r="A1282" s="404" t="s">
        <v>582</v>
      </c>
      <c r="B1282" s="381" t="s">
        <v>1679</v>
      </c>
      <c r="C1282" s="379" t="s">
        <v>1627</v>
      </c>
      <c r="D1282" s="263">
        <f>78.76*1.04</f>
        <v>81.91</v>
      </c>
      <c r="E1282" s="96">
        <f>D1282*20%</f>
        <v>16.38</v>
      </c>
      <c r="F1282" s="154">
        <f>D1282+E1282</f>
        <v>98.29</v>
      </c>
      <c r="G1282" s="226"/>
      <c r="H1282" s="253"/>
      <c r="I1282" s="253"/>
      <c r="J1282" s="253"/>
      <c r="K1282" s="253"/>
      <c r="L1282" s="253"/>
      <c r="M1282" s="253"/>
      <c r="N1282" s="253"/>
      <c r="O1282" s="253"/>
      <c r="P1282" s="253"/>
      <c r="Q1282" s="253"/>
      <c r="R1282" s="253"/>
      <c r="S1282" s="253"/>
      <c r="EH1282" s="348"/>
      <c r="HF1282" s="349"/>
      <c r="HG1282" s="350"/>
      <c r="IU1282" s="349">
        <v>72.47</v>
      </c>
      <c r="IV1282" s="351">
        <f>72.47*1.045</f>
        <v>75.73</v>
      </c>
    </row>
    <row r="1283" spans="1:256" s="347" customFormat="1" ht="17.25" hidden="1" customHeight="1" x14ac:dyDescent="0.2">
      <c r="A1283" s="404" t="s">
        <v>584</v>
      </c>
      <c r="B1283" s="381" t="s">
        <v>1680</v>
      </c>
      <c r="C1283" s="379" t="s">
        <v>1365</v>
      </c>
      <c r="D1283" s="263">
        <f>14.32*1.04</f>
        <v>14.89</v>
      </c>
      <c r="E1283" s="96">
        <f>D1283*20%</f>
        <v>2.98</v>
      </c>
      <c r="F1283" s="154">
        <f t="shared" si="80"/>
        <v>17.87</v>
      </c>
      <c r="G1283" s="226"/>
      <c r="H1283" s="253"/>
      <c r="I1283" s="253"/>
      <c r="J1283" s="253"/>
      <c r="K1283" s="253"/>
      <c r="L1283" s="253"/>
      <c r="M1283" s="253"/>
      <c r="N1283" s="253"/>
      <c r="O1283" s="253"/>
      <c r="P1283" s="253"/>
      <c r="Q1283" s="253"/>
      <c r="R1283" s="253"/>
      <c r="S1283" s="253"/>
      <c r="EH1283" s="348"/>
      <c r="HF1283" s="349"/>
      <c r="HG1283" s="350"/>
      <c r="IU1283" s="349">
        <v>13.18</v>
      </c>
      <c r="IV1283" s="351">
        <f>13.18*1.045</f>
        <v>13.77</v>
      </c>
    </row>
    <row r="1284" spans="1:256" s="347" customFormat="1" ht="52.5" customHeight="1" x14ac:dyDescent="0.2">
      <c r="A1284" s="108" t="s">
        <v>29</v>
      </c>
      <c r="B1284" s="397" t="s">
        <v>1681</v>
      </c>
      <c r="C1284" s="379" t="s">
        <v>1633</v>
      </c>
      <c r="D1284" s="389">
        <f>64.42*1.055</f>
        <v>67.959999999999994</v>
      </c>
      <c r="E1284" s="96"/>
      <c r="F1284" s="154">
        <f t="shared" si="80"/>
        <v>67.959999999999994</v>
      </c>
      <c r="G1284" s="226"/>
      <c r="H1284" s="253"/>
      <c r="I1284" s="253"/>
      <c r="J1284" s="253"/>
      <c r="K1284" s="253"/>
      <c r="L1284" s="253"/>
      <c r="M1284" s="253"/>
      <c r="N1284" s="253"/>
      <c r="O1284" s="253"/>
      <c r="P1284" s="253"/>
      <c r="Q1284" s="253"/>
      <c r="R1284" s="253"/>
      <c r="S1284" s="253"/>
      <c r="EH1284" s="348"/>
      <c r="HF1284" s="349"/>
      <c r="HG1284" s="350"/>
    </row>
    <row r="1285" spans="1:256" s="347" customFormat="1" ht="45" customHeight="1" x14ac:dyDescent="0.2">
      <c r="A1285" s="108" t="s">
        <v>31</v>
      </c>
      <c r="B1285" s="397" t="s">
        <v>1682</v>
      </c>
      <c r="C1285" s="379" t="s">
        <v>1633</v>
      </c>
      <c r="D1285" s="389">
        <f>158.98*1.055</f>
        <v>167.72</v>
      </c>
      <c r="E1285" s="96"/>
      <c r="F1285" s="154">
        <f t="shared" si="80"/>
        <v>167.72</v>
      </c>
      <c r="G1285" s="226"/>
      <c r="H1285" s="253"/>
      <c r="I1285" s="253"/>
      <c r="J1285" s="253"/>
      <c r="K1285" s="253"/>
      <c r="L1285" s="253"/>
      <c r="M1285" s="253"/>
      <c r="N1285" s="253"/>
      <c r="O1285" s="253"/>
      <c r="P1285" s="253"/>
      <c r="Q1285" s="253"/>
      <c r="R1285" s="253"/>
      <c r="S1285" s="253"/>
      <c r="EH1285" s="348"/>
      <c r="HF1285" s="349"/>
      <c r="HG1285" s="350"/>
    </row>
    <row r="1286" spans="1:256" s="347" customFormat="1" ht="48" customHeight="1" x14ac:dyDescent="0.2">
      <c r="A1286" s="108" t="s">
        <v>33</v>
      </c>
      <c r="B1286" s="397" t="s">
        <v>1683</v>
      </c>
      <c r="C1286" s="379" t="s">
        <v>1633</v>
      </c>
      <c r="D1286" s="389">
        <f>488.21*1.055</f>
        <v>515.05999999999995</v>
      </c>
      <c r="E1286" s="96"/>
      <c r="F1286" s="154">
        <f t="shared" si="80"/>
        <v>515.05999999999995</v>
      </c>
      <c r="G1286" s="226"/>
      <c r="H1286" s="253"/>
      <c r="I1286" s="253"/>
      <c r="J1286" s="253"/>
      <c r="K1286" s="253"/>
      <c r="L1286" s="253"/>
      <c r="M1286" s="253"/>
      <c r="N1286" s="253"/>
      <c r="O1286" s="253"/>
      <c r="P1286" s="253"/>
      <c r="Q1286" s="253"/>
      <c r="R1286" s="253"/>
      <c r="S1286" s="253"/>
      <c r="EH1286" s="348"/>
      <c r="HF1286" s="349"/>
      <c r="HG1286" s="350"/>
    </row>
    <row r="1287" spans="1:256" s="347" customFormat="1" ht="31.5" hidden="1" customHeight="1" x14ac:dyDescent="0.2">
      <c r="A1287" s="108" t="s">
        <v>37</v>
      </c>
      <c r="B1287" s="397" t="s">
        <v>1684</v>
      </c>
      <c r="C1287" s="379" t="s">
        <v>1633</v>
      </c>
      <c r="D1287" s="263">
        <f>103.59*1.04</f>
        <v>107.73</v>
      </c>
      <c r="E1287" s="96"/>
      <c r="F1287" s="154">
        <f t="shared" si="80"/>
        <v>107.73</v>
      </c>
      <c r="G1287" s="226"/>
      <c r="H1287" s="253"/>
      <c r="I1287" s="253"/>
      <c r="J1287" s="253"/>
      <c r="K1287" s="253"/>
      <c r="L1287" s="253"/>
      <c r="M1287" s="253"/>
      <c r="N1287" s="253"/>
      <c r="O1287" s="253"/>
      <c r="P1287" s="253"/>
      <c r="Q1287" s="253"/>
      <c r="R1287" s="253"/>
      <c r="S1287" s="253"/>
      <c r="EH1287" s="348"/>
      <c r="HF1287" s="349"/>
      <c r="HG1287" s="350"/>
      <c r="IU1287" s="349">
        <v>95.32</v>
      </c>
      <c r="IV1287" s="351">
        <f>95.32*1.045</f>
        <v>99.61</v>
      </c>
    </row>
    <row r="1288" spans="1:256" s="347" customFormat="1" ht="44.25" customHeight="1" x14ac:dyDescent="0.2">
      <c r="A1288" s="108" t="s">
        <v>35</v>
      </c>
      <c r="B1288" s="397" t="s">
        <v>1685</v>
      </c>
      <c r="C1288" s="379" t="s">
        <v>1633</v>
      </c>
      <c r="D1288" s="389">
        <f>175.57*1.055</f>
        <v>185.23</v>
      </c>
      <c r="E1288" s="96"/>
      <c r="F1288" s="154">
        <f t="shared" si="80"/>
        <v>185.23</v>
      </c>
      <c r="G1288" s="226"/>
      <c r="H1288" s="253"/>
      <c r="I1288" s="253"/>
      <c r="J1288" s="253"/>
      <c r="K1288" s="253"/>
      <c r="L1288" s="253"/>
      <c r="M1288" s="253"/>
      <c r="N1288" s="253"/>
      <c r="O1288" s="253"/>
      <c r="P1288" s="253"/>
      <c r="Q1288" s="253"/>
      <c r="R1288" s="253"/>
      <c r="S1288" s="253"/>
      <c r="EH1288" s="348"/>
      <c r="HF1288" s="349"/>
      <c r="HG1288" s="350"/>
    </row>
    <row r="1289" spans="1:256" s="347" customFormat="1" ht="33" customHeight="1" x14ac:dyDescent="0.2">
      <c r="A1289" s="108" t="s">
        <v>37</v>
      </c>
      <c r="B1289" s="381" t="s">
        <v>1686</v>
      </c>
      <c r="C1289" s="122" t="s">
        <v>1666</v>
      </c>
      <c r="D1289" s="389">
        <v>881.13</v>
      </c>
      <c r="E1289" s="96"/>
      <c r="F1289" s="154">
        <f t="shared" si="80"/>
        <v>881.13</v>
      </c>
      <c r="G1289" s="253"/>
      <c r="H1289" s="253"/>
      <c r="I1289" s="253"/>
      <c r="J1289" s="253"/>
      <c r="K1289" s="253"/>
      <c r="L1289" s="253"/>
      <c r="M1289" s="253"/>
      <c r="N1289" s="253"/>
      <c r="O1289" s="253"/>
      <c r="P1289" s="253"/>
      <c r="Q1289" s="253"/>
      <c r="R1289" s="253"/>
      <c r="S1289" s="253"/>
      <c r="EH1289" s="348"/>
      <c r="HF1289" s="355"/>
      <c r="HG1289" s="350"/>
    </row>
    <row r="1290" spans="1:256" s="2" customFormat="1" ht="29.25" hidden="1" customHeight="1" x14ac:dyDescent="0.2">
      <c r="A1290" s="519" t="s">
        <v>1687</v>
      </c>
      <c r="B1290" s="520"/>
      <c r="C1290" s="520"/>
      <c r="D1290" s="520"/>
      <c r="E1290" s="525"/>
      <c r="F1290" s="521"/>
      <c r="G1290" s="226"/>
      <c r="H1290" s="253"/>
      <c r="I1290" s="253"/>
      <c r="J1290" s="253"/>
      <c r="K1290" s="253"/>
      <c r="L1290" s="253"/>
      <c r="M1290" s="253"/>
      <c r="N1290" s="253"/>
      <c r="O1290" s="253"/>
      <c r="P1290" s="253"/>
      <c r="Q1290" s="253"/>
      <c r="R1290" s="253"/>
      <c r="S1290" s="253"/>
      <c r="EH1290" s="3"/>
      <c r="HG1290" s="305"/>
    </row>
    <row r="1291" spans="1:256" s="2" customFormat="1" ht="18.75" hidden="1" customHeight="1" x14ac:dyDescent="0.2">
      <c r="A1291" s="234" t="s">
        <v>14</v>
      </c>
      <c r="B1291" s="381" t="s">
        <v>1688</v>
      </c>
      <c r="C1291" s="379" t="s">
        <v>1689</v>
      </c>
      <c r="D1291" s="263">
        <f>116.71*1.04</f>
        <v>121.38</v>
      </c>
      <c r="E1291" s="96">
        <f>D1291*20%</f>
        <v>24.28</v>
      </c>
      <c r="F1291" s="154">
        <f>D1291+E1291</f>
        <v>145.66</v>
      </c>
      <c r="G1291" s="226"/>
      <c r="H1291" s="253"/>
      <c r="I1291" s="253"/>
      <c r="J1291" s="253"/>
      <c r="K1291" s="253"/>
      <c r="L1291" s="253"/>
      <c r="M1291" s="253"/>
      <c r="N1291" s="253"/>
      <c r="O1291" s="253"/>
      <c r="P1291" s="253"/>
      <c r="Q1291" s="253"/>
      <c r="R1291" s="253"/>
      <c r="S1291" s="253"/>
      <c r="EH1291" s="3"/>
      <c r="HF1291" s="301"/>
      <c r="HG1291" s="305"/>
      <c r="IU1291" s="301">
        <v>107.39</v>
      </c>
      <c r="IV1291" s="312">
        <f>107.39*1.045</f>
        <v>112.22</v>
      </c>
    </row>
    <row r="1292" spans="1:256" s="2" customFormat="1" ht="17.25" hidden="1" customHeight="1" x14ac:dyDescent="0.2">
      <c r="A1292" s="234" t="s">
        <v>26</v>
      </c>
      <c r="B1292" s="381" t="s">
        <v>1690</v>
      </c>
      <c r="C1292" s="379" t="s">
        <v>1567</v>
      </c>
      <c r="D1292" s="263">
        <f>87.36*1.04</f>
        <v>90.85</v>
      </c>
      <c r="E1292" s="96">
        <f>D1292*20%</f>
        <v>18.170000000000002</v>
      </c>
      <c r="F1292" s="154">
        <f>D1292+E1292</f>
        <v>109.02</v>
      </c>
      <c r="G1292" s="226"/>
      <c r="H1292" s="253"/>
      <c r="I1292" s="253"/>
      <c r="J1292" s="253"/>
      <c r="K1292" s="253"/>
      <c r="L1292" s="253"/>
      <c r="M1292" s="253"/>
      <c r="N1292" s="253"/>
      <c r="O1292" s="253"/>
      <c r="P1292" s="253"/>
      <c r="Q1292" s="253"/>
      <c r="R1292" s="253"/>
      <c r="S1292" s="253"/>
      <c r="EH1292" s="3"/>
      <c r="HF1292" s="301"/>
      <c r="HG1292" s="305"/>
      <c r="IU1292" s="301">
        <v>80.38</v>
      </c>
      <c r="IV1292" s="312">
        <f>80.38*1.045</f>
        <v>84</v>
      </c>
    </row>
    <row r="1293" spans="1:256" s="2" customFormat="1" ht="45.75" hidden="1" customHeight="1" x14ac:dyDescent="0.2">
      <c r="A1293" s="519" t="s">
        <v>1691</v>
      </c>
      <c r="B1293" s="520"/>
      <c r="C1293" s="520"/>
      <c r="D1293" s="520"/>
      <c r="E1293" s="520"/>
      <c r="F1293" s="521"/>
      <c r="G1293" s="226"/>
      <c r="H1293" s="253"/>
      <c r="I1293" s="253"/>
      <c r="J1293" s="253"/>
      <c r="K1293" s="253"/>
      <c r="L1293" s="253"/>
      <c r="M1293" s="253"/>
      <c r="N1293" s="253"/>
      <c r="O1293" s="253"/>
      <c r="P1293" s="253"/>
      <c r="Q1293" s="253"/>
      <c r="R1293" s="253"/>
      <c r="S1293" s="253"/>
      <c r="EH1293" s="3"/>
      <c r="HG1293" s="305"/>
    </row>
    <row r="1294" spans="1:256" s="2" customFormat="1" ht="96.75" hidden="1" customHeight="1" x14ac:dyDescent="0.2">
      <c r="A1294" s="234" t="s">
        <v>14</v>
      </c>
      <c r="B1294" s="381" t="s">
        <v>1692</v>
      </c>
      <c r="C1294" s="379" t="s">
        <v>1693</v>
      </c>
      <c r="D1294" s="510">
        <v>1.5</v>
      </c>
      <c r="E1294" s="511"/>
      <c r="F1294" s="512"/>
      <c r="G1294" s="226"/>
      <c r="H1294" s="253"/>
      <c r="I1294" s="253"/>
      <c r="J1294" s="253"/>
      <c r="K1294" s="253"/>
      <c r="L1294" s="253"/>
      <c r="M1294" s="253"/>
      <c r="N1294" s="253"/>
      <c r="O1294" s="253"/>
      <c r="P1294" s="253"/>
      <c r="Q1294" s="253"/>
      <c r="R1294" s="253"/>
      <c r="S1294" s="253"/>
      <c r="EH1294" s="3"/>
      <c r="HG1294" s="305"/>
    </row>
    <row r="1295" spans="1:256" s="2" customFormat="1" ht="33" hidden="1" customHeight="1" x14ac:dyDescent="0.2">
      <c r="A1295" s="234" t="s">
        <v>26</v>
      </c>
      <c r="B1295" s="381" t="s">
        <v>1694</v>
      </c>
      <c r="C1295" s="379" t="s">
        <v>1693</v>
      </c>
      <c r="D1295" s="510">
        <v>2</v>
      </c>
      <c r="E1295" s="511"/>
      <c r="F1295" s="512"/>
      <c r="G1295" s="226"/>
      <c r="H1295" s="253"/>
      <c r="I1295" s="253"/>
      <c r="J1295" s="253"/>
      <c r="K1295" s="253"/>
      <c r="L1295" s="253"/>
      <c r="M1295" s="253"/>
      <c r="N1295" s="253"/>
      <c r="O1295" s="253"/>
      <c r="P1295" s="253"/>
      <c r="Q1295" s="253"/>
      <c r="R1295" s="253"/>
      <c r="S1295" s="253"/>
      <c r="EH1295" s="3"/>
      <c r="HG1295" s="305"/>
    </row>
    <row r="1296" spans="1:256" s="2" customFormat="1" ht="18" hidden="1" customHeight="1" x14ac:dyDescent="0.2">
      <c r="A1296" s="234" t="s">
        <v>29</v>
      </c>
      <c r="B1296" s="522" t="s">
        <v>1695</v>
      </c>
      <c r="C1296" s="523"/>
      <c r="D1296" s="523"/>
      <c r="E1296" s="523"/>
      <c r="F1296" s="524"/>
      <c r="G1296" s="226"/>
      <c r="H1296" s="253"/>
      <c r="I1296" s="253"/>
      <c r="J1296" s="253"/>
      <c r="K1296" s="253"/>
      <c r="L1296" s="253"/>
      <c r="M1296" s="253"/>
      <c r="N1296" s="253"/>
      <c r="O1296" s="253"/>
      <c r="P1296" s="253"/>
      <c r="Q1296" s="253"/>
      <c r="R1296" s="253"/>
      <c r="S1296" s="253"/>
      <c r="EH1296" s="3"/>
      <c r="HG1296" s="305"/>
    </row>
    <row r="1297" spans="1:215" s="2" customFormat="1" ht="16.5" hidden="1" customHeight="1" x14ac:dyDescent="0.2">
      <c r="A1297" s="234" t="s">
        <v>578</v>
      </c>
      <c r="B1297" s="381" t="s">
        <v>1696</v>
      </c>
      <c r="C1297" s="379" t="s">
        <v>1693</v>
      </c>
      <c r="D1297" s="510">
        <v>1.1000000000000001</v>
      </c>
      <c r="E1297" s="511"/>
      <c r="F1297" s="512"/>
      <c r="G1297" s="226"/>
      <c r="H1297" s="253"/>
      <c r="I1297" s="253"/>
      <c r="J1297" s="253"/>
      <c r="K1297" s="253"/>
      <c r="L1297" s="253"/>
      <c r="M1297" s="253"/>
      <c r="N1297" s="253"/>
      <c r="O1297" s="253"/>
      <c r="P1297" s="253"/>
      <c r="Q1297" s="253"/>
      <c r="R1297" s="253"/>
      <c r="S1297" s="253"/>
      <c r="EH1297" s="3"/>
      <c r="HG1297" s="305"/>
    </row>
    <row r="1298" spans="1:215" s="2" customFormat="1" ht="15.75" hidden="1" customHeight="1" x14ac:dyDescent="0.2">
      <c r="A1298" s="234" t="s">
        <v>580</v>
      </c>
      <c r="B1298" s="381" t="s">
        <v>1697</v>
      </c>
      <c r="C1298" s="379" t="s">
        <v>1693</v>
      </c>
      <c r="D1298" s="510">
        <v>1.2</v>
      </c>
      <c r="E1298" s="511"/>
      <c r="F1298" s="512"/>
      <c r="G1298" s="226"/>
      <c r="H1298" s="253"/>
      <c r="I1298" s="253"/>
      <c r="J1298" s="253"/>
      <c r="K1298" s="253"/>
      <c r="L1298" s="253"/>
      <c r="M1298" s="253"/>
      <c r="N1298" s="253"/>
      <c r="O1298" s="253"/>
      <c r="P1298" s="253"/>
      <c r="Q1298" s="253"/>
      <c r="R1298" s="253"/>
      <c r="S1298" s="253"/>
      <c r="EH1298" s="3"/>
      <c r="HG1298" s="305"/>
    </row>
    <row r="1299" spans="1:215" s="2" customFormat="1" ht="31.5" hidden="1" x14ac:dyDescent="0.2">
      <c r="A1299" s="234" t="s">
        <v>582</v>
      </c>
      <c r="B1299" s="381" t="s">
        <v>1698</v>
      </c>
      <c r="C1299" s="379" t="s">
        <v>1693</v>
      </c>
      <c r="D1299" s="510">
        <v>1.3</v>
      </c>
      <c r="E1299" s="511"/>
      <c r="F1299" s="512"/>
      <c r="G1299" s="226"/>
      <c r="H1299" s="253"/>
      <c r="I1299" s="253"/>
      <c r="J1299" s="253"/>
      <c r="K1299" s="253"/>
      <c r="L1299" s="253"/>
      <c r="M1299" s="253"/>
      <c r="N1299" s="253"/>
      <c r="O1299" s="253"/>
      <c r="P1299" s="253"/>
      <c r="Q1299" s="253"/>
      <c r="R1299" s="253"/>
      <c r="S1299" s="253"/>
      <c r="EH1299" s="3"/>
      <c r="HG1299" s="305"/>
    </row>
    <row r="1300" spans="1:215" s="2" customFormat="1" ht="20.25" hidden="1" customHeight="1" x14ac:dyDescent="0.2">
      <c r="A1300" s="234" t="s">
        <v>584</v>
      </c>
      <c r="B1300" s="381" t="s">
        <v>1699</v>
      </c>
      <c r="C1300" s="379" t="s">
        <v>1693</v>
      </c>
      <c r="D1300" s="510">
        <v>1.4</v>
      </c>
      <c r="E1300" s="511"/>
      <c r="F1300" s="512"/>
      <c r="G1300" s="226"/>
      <c r="H1300" s="253"/>
      <c r="I1300" s="253"/>
      <c r="J1300" s="253"/>
      <c r="K1300" s="253"/>
      <c r="L1300" s="253"/>
      <c r="M1300" s="253"/>
      <c r="N1300" s="253"/>
      <c r="O1300" s="253"/>
      <c r="P1300" s="253"/>
      <c r="Q1300" s="253"/>
      <c r="R1300" s="253"/>
      <c r="S1300" s="253"/>
      <c r="EH1300" s="3"/>
      <c r="HG1300" s="305"/>
    </row>
    <row r="1301" spans="1:215" s="2" customFormat="1" ht="18.75" hidden="1" customHeight="1" x14ac:dyDescent="0.2">
      <c r="A1301" s="234" t="s">
        <v>586</v>
      </c>
      <c r="B1301" s="381" t="s">
        <v>1700</v>
      </c>
      <c r="C1301" s="379" t="s">
        <v>1693</v>
      </c>
      <c r="D1301" s="510">
        <v>1.5</v>
      </c>
      <c r="E1301" s="511"/>
      <c r="F1301" s="512"/>
      <c r="G1301" s="226"/>
      <c r="H1301" s="253"/>
      <c r="I1301" s="253"/>
      <c r="J1301" s="253"/>
      <c r="K1301" s="253"/>
      <c r="L1301" s="253"/>
      <c r="M1301" s="253"/>
      <c r="N1301" s="253"/>
      <c r="O1301" s="253"/>
      <c r="P1301" s="253"/>
      <c r="Q1301" s="253"/>
      <c r="R1301" s="253"/>
      <c r="S1301" s="253"/>
      <c r="EH1301" s="3"/>
      <c r="HG1301" s="305"/>
    </row>
    <row r="1302" spans="1:215" s="2" customFormat="1" ht="33" hidden="1" customHeight="1" x14ac:dyDescent="0.2">
      <c r="A1302" s="234" t="s">
        <v>31</v>
      </c>
      <c r="B1302" s="381" t="s">
        <v>1701</v>
      </c>
      <c r="C1302" s="379" t="s">
        <v>1693</v>
      </c>
      <c r="D1302" s="510">
        <v>2</v>
      </c>
      <c r="E1302" s="511"/>
      <c r="F1302" s="512"/>
      <c r="G1302" s="226"/>
      <c r="H1302" s="253"/>
      <c r="I1302" s="253"/>
      <c r="J1302" s="253"/>
      <c r="K1302" s="253"/>
      <c r="L1302" s="253"/>
      <c r="M1302" s="253"/>
      <c r="N1302" s="253"/>
      <c r="O1302" s="253"/>
      <c r="P1302" s="253"/>
      <c r="Q1302" s="253"/>
      <c r="R1302" s="253"/>
      <c r="S1302" s="253"/>
      <c r="EH1302" s="3"/>
      <c r="HG1302" s="305"/>
    </row>
    <row r="1303" spans="1:215" s="2" customFormat="1" ht="32.25" hidden="1" customHeight="1" x14ac:dyDescent="0.2">
      <c r="A1303" s="234" t="s">
        <v>33</v>
      </c>
      <c r="B1303" s="381" t="s">
        <v>1702</v>
      </c>
      <c r="C1303" s="379" t="s">
        <v>1693</v>
      </c>
      <c r="D1303" s="510">
        <v>2</v>
      </c>
      <c r="E1303" s="511"/>
      <c r="F1303" s="512"/>
      <c r="G1303" s="226"/>
      <c r="H1303" s="253"/>
      <c r="I1303" s="253"/>
      <c r="J1303" s="253"/>
      <c r="K1303" s="253"/>
      <c r="L1303" s="253"/>
      <c r="M1303" s="253"/>
      <c r="N1303" s="253"/>
      <c r="O1303" s="253"/>
      <c r="P1303" s="253"/>
      <c r="Q1303" s="253"/>
      <c r="R1303" s="253"/>
      <c r="S1303" s="253"/>
      <c r="EH1303" s="3"/>
      <c r="HG1303" s="305"/>
    </row>
    <row r="1304" spans="1:215" s="2" customFormat="1" ht="33" hidden="1" customHeight="1" x14ac:dyDescent="0.2">
      <c r="A1304" s="234" t="s">
        <v>35</v>
      </c>
      <c r="B1304" s="381" t="s">
        <v>1703</v>
      </c>
      <c r="C1304" s="379" t="s">
        <v>1693</v>
      </c>
      <c r="D1304" s="510">
        <v>2</v>
      </c>
      <c r="E1304" s="511"/>
      <c r="F1304" s="512"/>
      <c r="G1304" s="226"/>
      <c r="H1304" s="253"/>
      <c r="I1304" s="253"/>
      <c r="J1304" s="253"/>
      <c r="K1304" s="253"/>
      <c r="L1304" s="253"/>
      <c r="M1304" s="253"/>
      <c r="N1304" s="253"/>
      <c r="O1304" s="253"/>
      <c r="P1304" s="253"/>
      <c r="Q1304" s="253"/>
      <c r="R1304" s="253"/>
      <c r="S1304" s="253"/>
      <c r="EH1304" s="3"/>
      <c r="HG1304" s="305"/>
    </row>
    <row r="1305" spans="1:215" s="2" customFormat="1" ht="67.5" hidden="1" customHeight="1" x14ac:dyDescent="0.2">
      <c r="A1305" s="234" t="s">
        <v>37</v>
      </c>
      <c r="B1305" s="381" t="s">
        <v>1704</v>
      </c>
      <c r="C1305" s="379" t="s">
        <v>1693</v>
      </c>
      <c r="D1305" s="510" t="s">
        <v>1705</v>
      </c>
      <c r="E1305" s="511"/>
      <c r="F1305" s="512"/>
      <c r="G1305" s="226"/>
      <c r="H1305" s="253"/>
      <c r="I1305" s="253"/>
      <c r="J1305" s="253"/>
      <c r="K1305" s="253"/>
      <c r="L1305" s="253"/>
      <c r="M1305" s="253"/>
      <c r="N1305" s="253"/>
      <c r="O1305" s="253"/>
      <c r="P1305" s="253"/>
      <c r="Q1305" s="253"/>
      <c r="R1305" s="253"/>
      <c r="S1305" s="253"/>
      <c r="EH1305" s="3"/>
      <c r="HG1305" s="305"/>
    </row>
    <row r="1306" spans="1:215" s="2" customFormat="1" ht="50.25" hidden="1" customHeight="1" x14ac:dyDescent="0.2">
      <c r="A1306" s="234" t="s">
        <v>39</v>
      </c>
      <c r="B1306" s="381" t="s">
        <v>1706</v>
      </c>
      <c r="C1306" s="379" t="s">
        <v>1693</v>
      </c>
      <c r="D1306" s="510" t="s">
        <v>1707</v>
      </c>
      <c r="E1306" s="511"/>
      <c r="F1306" s="512"/>
      <c r="G1306" s="226"/>
      <c r="H1306" s="253"/>
      <c r="I1306" s="253"/>
      <c r="J1306" s="253"/>
      <c r="K1306" s="253"/>
      <c r="L1306" s="253"/>
      <c r="M1306" s="253"/>
      <c r="N1306" s="253"/>
      <c r="O1306" s="253"/>
      <c r="P1306" s="253"/>
      <c r="Q1306" s="253"/>
      <c r="R1306" s="253"/>
      <c r="S1306" s="253"/>
      <c r="EH1306" s="3"/>
      <c r="HG1306" s="305"/>
    </row>
    <row r="1307" spans="1:215" s="2" customFormat="1" ht="37.5" hidden="1" customHeight="1" thickBot="1" x14ac:dyDescent="0.25">
      <c r="A1307" s="235" t="s">
        <v>41</v>
      </c>
      <c r="B1307" s="216" t="s">
        <v>1708</v>
      </c>
      <c r="C1307" s="148" t="s">
        <v>1693</v>
      </c>
      <c r="D1307" s="513" t="s">
        <v>1707</v>
      </c>
      <c r="E1307" s="514"/>
      <c r="F1307" s="515"/>
      <c r="G1307" s="226"/>
      <c r="H1307" s="253"/>
      <c r="I1307" s="253"/>
      <c r="J1307" s="253"/>
      <c r="K1307" s="253"/>
      <c r="L1307" s="253"/>
      <c r="M1307" s="253"/>
      <c r="N1307" s="253"/>
      <c r="O1307" s="253"/>
      <c r="P1307" s="253"/>
      <c r="Q1307" s="253"/>
      <c r="R1307" s="253"/>
      <c r="S1307" s="253"/>
      <c r="EH1307" s="3"/>
      <c r="HG1307" s="305"/>
    </row>
    <row r="1308" spans="1:215" s="2" customFormat="1" hidden="1" x14ac:dyDescent="0.2">
      <c r="A1308" s="374"/>
      <c r="B1308" s="1"/>
      <c r="C1308" s="374"/>
      <c r="D1308" s="374"/>
      <c r="E1308" s="253"/>
      <c r="F1308" s="410"/>
      <c r="G1308" s="226"/>
      <c r="H1308" s="253"/>
      <c r="I1308" s="253"/>
      <c r="J1308" s="253"/>
      <c r="K1308" s="253"/>
      <c r="L1308" s="253"/>
      <c r="M1308" s="253"/>
      <c r="N1308" s="253"/>
      <c r="O1308" s="253"/>
      <c r="P1308" s="253"/>
      <c r="Q1308" s="253"/>
      <c r="R1308" s="253"/>
      <c r="S1308" s="253"/>
      <c r="EH1308" s="3"/>
      <c r="GS1308" s="3"/>
    </row>
    <row r="1309" spans="1:215" s="2" customFormat="1" hidden="1" x14ac:dyDescent="0.2">
      <c r="A1309" s="374"/>
      <c r="B1309" s="1"/>
      <c r="C1309" s="374"/>
      <c r="D1309" s="374"/>
      <c r="E1309" s="253"/>
      <c r="F1309" s="410"/>
      <c r="G1309" s="226"/>
      <c r="H1309" s="253"/>
      <c r="I1309" s="253"/>
      <c r="J1309" s="253"/>
      <c r="K1309" s="253"/>
      <c r="L1309" s="253"/>
      <c r="M1309" s="253"/>
      <c r="N1309" s="253"/>
      <c r="O1309" s="253"/>
      <c r="P1309" s="253"/>
      <c r="Q1309" s="253"/>
      <c r="R1309" s="253"/>
      <c r="S1309" s="253"/>
      <c r="EH1309" s="3"/>
      <c r="GS1309" s="3"/>
    </row>
    <row r="1310" spans="1:215" s="2" customFormat="1" hidden="1" x14ac:dyDescent="0.2">
      <c r="A1310" s="374"/>
      <c r="B1310" s="1"/>
      <c r="C1310" s="374"/>
      <c r="D1310" s="374"/>
      <c r="E1310" s="253"/>
      <c r="F1310" s="410"/>
      <c r="G1310" s="226"/>
      <c r="H1310" s="253"/>
      <c r="I1310" s="253"/>
      <c r="J1310" s="253"/>
      <c r="K1310" s="253"/>
      <c r="L1310" s="253"/>
      <c r="M1310" s="253"/>
      <c r="N1310" s="253"/>
      <c r="O1310" s="253"/>
      <c r="P1310" s="253"/>
      <c r="Q1310" s="253"/>
      <c r="R1310" s="253"/>
      <c r="S1310" s="253"/>
      <c r="EH1310" s="3"/>
      <c r="GS1310" s="3"/>
    </row>
    <row r="1311" spans="1:215" s="2" customFormat="1" hidden="1" x14ac:dyDescent="0.2">
      <c r="A1311" s="374"/>
      <c r="B1311" s="1"/>
      <c r="C1311" s="374"/>
      <c r="D1311" s="374"/>
      <c r="E1311" s="253"/>
      <c r="F1311" s="410"/>
      <c r="G1311" s="226"/>
      <c r="H1311" s="253"/>
      <c r="I1311" s="253"/>
      <c r="J1311" s="253"/>
      <c r="K1311" s="253"/>
      <c r="L1311" s="253"/>
      <c r="M1311" s="253"/>
      <c r="N1311" s="253"/>
      <c r="O1311" s="253"/>
      <c r="P1311" s="253"/>
      <c r="Q1311" s="253"/>
      <c r="R1311" s="253"/>
      <c r="S1311" s="253"/>
      <c r="EH1311" s="3"/>
      <c r="GS1311" s="3"/>
    </row>
    <row r="1312" spans="1:215" s="2" customFormat="1" hidden="1" x14ac:dyDescent="0.2">
      <c r="A1312" s="374"/>
      <c r="B1312" s="1"/>
      <c r="C1312" s="374"/>
      <c r="D1312" s="374"/>
      <c r="E1312" s="253"/>
      <c r="F1312" s="410"/>
      <c r="G1312" s="226"/>
      <c r="H1312" s="253"/>
      <c r="I1312" s="253"/>
      <c r="J1312" s="253"/>
      <c r="K1312" s="253"/>
      <c r="L1312" s="253"/>
      <c r="M1312" s="253"/>
      <c r="N1312" s="253"/>
      <c r="O1312" s="253"/>
      <c r="P1312" s="253"/>
      <c r="Q1312" s="253"/>
      <c r="R1312" s="253"/>
      <c r="S1312" s="253"/>
      <c r="EH1312" s="3"/>
      <c r="GS1312" s="3"/>
    </row>
    <row r="1313" spans="1:201" s="2" customFormat="1" hidden="1" x14ac:dyDescent="0.2">
      <c r="A1313" s="374"/>
      <c r="B1313" s="1"/>
      <c r="C1313" s="374"/>
      <c r="D1313" s="374"/>
      <c r="E1313" s="253"/>
      <c r="F1313" s="410"/>
      <c r="G1313" s="226"/>
      <c r="H1313" s="253"/>
      <c r="I1313" s="253"/>
      <c r="J1313" s="253"/>
      <c r="K1313" s="253"/>
      <c r="L1313" s="253"/>
      <c r="M1313" s="253"/>
      <c r="N1313" s="253"/>
      <c r="O1313" s="253"/>
      <c r="P1313" s="253"/>
      <c r="Q1313" s="253"/>
      <c r="R1313" s="253"/>
      <c r="S1313" s="253"/>
      <c r="EH1313" s="3"/>
      <c r="GS1313" s="3"/>
    </row>
    <row r="1314" spans="1:201" s="2" customFormat="1" hidden="1" x14ac:dyDescent="0.2">
      <c r="A1314" s="374"/>
      <c r="B1314" s="1"/>
      <c r="C1314" s="374"/>
      <c r="D1314" s="374"/>
      <c r="E1314" s="253"/>
      <c r="F1314" s="410"/>
      <c r="G1314" s="226"/>
      <c r="H1314" s="253"/>
      <c r="I1314" s="253"/>
      <c r="J1314" s="253"/>
      <c r="K1314" s="253"/>
      <c r="L1314" s="253"/>
      <c r="M1314" s="253"/>
      <c r="N1314" s="253"/>
      <c r="O1314" s="253"/>
      <c r="P1314" s="253"/>
      <c r="Q1314" s="253"/>
      <c r="R1314" s="253"/>
      <c r="S1314" s="253"/>
      <c r="EH1314" s="3"/>
      <c r="GS1314" s="3"/>
    </row>
    <row r="1315" spans="1:201" s="2" customFormat="1" hidden="1" x14ac:dyDescent="0.2">
      <c r="A1315" s="374"/>
      <c r="B1315" s="1"/>
      <c r="C1315" s="374"/>
      <c r="D1315" s="374"/>
      <c r="E1315" s="253"/>
      <c r="F1315" s="410"/>
      <c r="G1315" s="226"/>
      <c r="H1315" s="253"/>
      <c r="I1315" s="253"/>
      <c r="J1315" s="253"/>
      <c r="K1315" s="253"/>
      <c r="L1315" s="253"/>
      <c r="M1315" s="253"/>
      <c r="N1315" s="253"/>
      <c r="O1315" s="253"/>
      <c r="P1315" s="253"/>
      <c r="Q1315" s="253"/>
      <c r="R1315" s="253"/>
      <c r="S1315" s="253"/>
      <c r="EH1315" s="3"/>
      <c r="GS1315" s="3"/>
    </row>
    <row r="1316" spans="1:201" s="2" customFormat="1" hidden="1" x14ac:dyDescent="0.2">
      <c r="A1316" s="374"/>
      <c r="B1316" s="1"/>
      <c r="C1316" s="374"/>
      <c r="D1316" s="374"/>
      <c r="E1316" s="253"/>
      <c r="F1316" s="410"/>
      <c r="G1316" s="226"/>
      <c r="H1316" s="253"/>
      <c r="I1316" s="253"/>
      <c r="J1316" s="253"/>
      <c r="K1316" s="253"/>
      <c r="L1316" s="253"/>
      <c r="M1316" s="253"/>
      <c r="N1316" s="253"/>
      <c r="O1316" s="253"/>
      <c r="P1316" s="253"/>
      <c r="Q1316" s="253"/>
      <c r="R1316" s="253"/>
      <c r="S1316" s="253"/>
      <c r="EH1316" s="3"/>
      <c r="GS1316" s="3"/>
    </row>
    <row r="1317" spans="1:201" s="2" customFormat="1" hidden="1" x14ac:dyDescent="0.2">
      <c r="A1317" s="374"/>
      <c r="B1317" s="1"/>
      <c r="C1317" s="374"/>
      <c r="D1317" s="374"/>
      <c r="E1317" s="253"/>
      <c r="F1317" s="410"/>
      <c r="G1317" s="226"/>
      <c r="H1317" s="253"/>
      <c r="I1317" s="253"/>
      <c r="J1317" s="253"/>
      <c r="K1317" s="253"/>
      <c r="L1317" s="253"/>
      <c r="M1317" s="253"/>
      <c r="N1317" s="253"/>
      <c r="O1317" s="253"/>
      <c r="P1317" s="253"/>
      <c r="Q1317" s="253"/>
      <c r="R1317" s="253"/>
      <c r="S1317" s="253"/>
      <c r="EH1317" s="3"/>
      <c r="GS1317" s="3"/>
    </row>
    <row r="1318" spans="1:201" s="2" customFormat="1" hidden="1" x14ac:dyDescent="0.2">
      <c r="A1318" s="374"/>
      <c r="B1318" s="1"/>
      <c r="C1318" s="374"/>
      <c r="D1318" s="374"/>
      <c r="E1318" s="253"/>
      <c r="F1318" s="410"/>
      <c r="G1318" s="226"/>
      <c r="H1318" s="253"/>
      <c r="I1318" s="253"/>
      <c r="J1318" s="253"/>
      <c r="K1318" s="253"/>
      <c r="L1318" s="253"/>
      <c r="M1318" s="253"/>
      <c r="N1318" s="253"/>
      <c r="O1318" s="253"/>
      <c r="P1318" s="253"/>
      <c r="Q1318" s="253"/>
      <c r="R1318" s="253"/>
      <c r="S1318" s="253"/>
      <c r="EH1318" s="3"/>
      <c r="GS1318" s="3"/>
    </row>
    <row r="1319" spans="1:201" s="2" customFormat="1" hidden="1" x14ac:dyDescent="0.2">
      <c r="A1319" s="374"/>
      <c r="B1319" s="1"/>
      <c r="C1319" s="374"/>
      <c r="D1319" s="374"/>
      <c r="E1319" s="253"/>
      <c r="F1319" s="410"/>
      <c r="G1319" s="226"/>
      <c r="H1319" s="253"/>
      <c r="I1319" s="253"/>
      <c r="J1319" s="253"/>
      <c r="K1319" s="253"/>
      <c r="L1319" s="253"/>
      <c r="M1319" s="253"/>
      <c r="N1319" s="253"/>
      <c r="O1319" s="253"/>
      <c r="P1319" s="253"/>
      <c r="Q1319" s="253"/>
      <c r="R1319" s="253"/>
      <c r="S1319" s="253"/>
      <c r="EH1319" s="3"/>
      <c r="GS1319" s="3"/>
    </row>
    <row r="1320" spans="1:201" s="2" customFormat="1" hidden="1" x14ac:dyDescent="0.2">
      <c r="A1320" s="374"/>
      <c r="B1320" s="1"/>
      <c r="C1320" s="374"/>
      <c r="D1320" s="374"/>
      <c r="E1320" s="253"/>
      <c r="F1320" s="410"/>
      <c r="G1320" s="226"/>
      <c r="H1320" s="253"/>
      <c r="I1320" s="253"/>
      <c r="J1320" s="253"/>
      <c r="K1320" s="253"/>
      <c r="L1320" s="253"/>
      <c r="M1320" s="253"/>
      <c r="N1320" s="253"/>
      <c r="O1320" s="253"/>
      <c r="P1320" s="253"/>
      <c r="Q1320" s="253"/>
      <c r="R1320" s="253"/>
      <c r="S1320" s="253"/>
      <c r="EH1320" s="3"/>
      <c r="GS1320" s="3"/>
    </row>
    <row r="1321" spans="1:201" s="2" customFormat="1" hidden="1" x14ac:dyDescent="0.2">
      <c r="A1321" s="374"/>
      <c r="B1321" s="1"/>
      <c r="C1321" s="374"/>
      <c r="D1321" s="374"/>
      <c r="E1321" s="253"/>
      <c r="F1321" s="410"/>
      <c r="G1321" s="226"/>
      <c r="H1321" s="253"/>
      <c r="I1321" s="253"/>
      <c r="J1321" s="253"/>
      <c r="K1321" s="253"/>
      <c r="L1321" s="253"/>
      <c r="M1321" s="253"/>
      <c r="N1321" s="253"/>
      <c r="O1321" s="253"/>
      <c r="P1321" s="253"/>
      <c r="Q1321" s="253"/>
      <c r="R1321" s="253"/>
      <c r="S1321" s="253"/>
      <c r="EH1321" s="3"/>
      <c r="GS1321" s="3"/>
    </row>
    <row r="1322" spans="1:201" s="2" customFormat="1" hidden="1" x14ac:dyDescent="0.2">
      <c r="A1322" s="374"/>
      <c r="B1322" s="1"/>
      <c r="C1322" s="374"/>
      <c r="D1322" s="374"/>
      <c r="E1322" s="253"/>
      <c r="F1322" s="410"/>
      <c r="G1322" s="226"/>
      <c r="H1322" s="253"/>
      <c r="I1322" s="253"/>
      <c r="J1322" s="253"/>
      <c r="K1322" s="253"/>
      <c r="L1322" s="253"/>
      <c r="M1322" s="253"/>
      <c r="N1322" s="253"/>
      <c r="O1322" s="253"/>
      <c r="P1322" s="253"/>
      <c r="Q1322" s="253"/>
      <c r="R1322" s="253"/>
      <c r="S1322" s="253"/>
      <c r="EH1322" s="3"/>
      <c r="GS1322" s="3"/>
    </row>
    <row r="1323" spans="1:201" s="2" customFormat="1" hidden="1" x14ac:dyDescent="0.2">
      <c r="A1323" s="374"/>
      <c r="B1323" s="1"/>
      <c r="C1323" s="374"/>
      <c r="D1323" s="374"/>
      <c r="E1323" s="253"/>
      <c r="F1323" s="410"/>
      <c r="G1323" s="226"/>
      <c r="H1323" s="253"/>
      <c r="I1323" s="253"/>
      <c r="J1323" s="253"/>
      <c r="K1323" s="253"/>
      <c r="L1323" s="253"/>
      <c r="M1323" s="253"/>
      <c r="N1323" s="253"/>
      <c r="O1323" s="253"/>
      <c r="P1323" s="253"/>
      <c r="Q1323" s="253"/>
      <c r="R1323" s="253"/>
      <c r="S1323" s="253"/>
      <c r="EH1323" s="3"/>
      <c r="GS1323" s="3"/>
    </row>
    <row r="1324" spans="1:201" s="2" customFormat="1" hidden="1" x14ac:dyDescent="0.2">
      <c r="A1324" s="374"/>
      <c r="B1324" s="1"/>
      <c r="C1324" s="374"/>
      <c r="D1324" s="374"/>
      <c r="E1324" s="253"/>
      <c r="F1324" s="410"/>
      <c r="G1324" s="226"/>
      <c r="H1324" s="253"/>
      <c r="I1324" s="253"/>
      <c r="J1324" s="253"/>
      <c r="K1324" s="253"/>
      <c r="L1324" s="253"/>
      <c r="M1324" s="253"/>
      <c r="N1324" s="253"/>
      <c r="O1324" s="253"/>
      <c r="P1324" s="253"/>
      <c r="Q1324" s="253"/>
      <c r="R1324" s="253"/>
      <c r="S1324" s="253"/>
      <c r="EH1324" s="3"/>
      <c r="GS1324" s="3"/>
    </row>
    <row r="1325" spans="1:201" s="2" customFormat="1" hidden="1" x14ac:dyDescent="0.2">
      <c r="A1325" s="374"/>
      <c r="B1325" s="1"/>
      <c r="C1325" s="374"/>
      <c r="D1325" s="374"/>
      <c r="E1325" s="253"/>
      <c r="F1325" s="410"/>
      <c r="G1325" s="226"/>
      <c r="H1325" s="253"/>
      <c r="I1325" s="253"/>
      <c r="J1325" s="253"/>
      <c r="K1325" s="253"/>
      <c r="L1325" s="253"/>
      <c r="M1325" s="253"/>
      <c r="N1325" s="253"/>
      <c r="O1325" s="253"/>
      <c r="P1325" s="253"/>
      <c r="Q1325" s="253"/>
      <c r="R1325" s="253"/>
      <c r="S1325" s="253"/>
      <c r="EH1325" s="3"/>
      <c r="GS1325" s="3"/>
    </row>
    <row r="1326" spans="1:201" s="2" customFormat="1" hidden="1" x14ac:dyDescent="0.2">
      <c r="A1326" s="374"/>
      <c r="B1326" s="1"/>
      <c r="C1326" s="374"/>
      <c r="D1326" s="374"/>
      <c r="E1326" s="253"/>
      <c r="F1326" s="410"/>
      <c r="G1326" s="226"/>
      <c r="H1326" s="253"/>
      <c r="I1326" s="253"/>
      <c r="J1326" s="253"/>
      <c r="K1326" s="253"/>
      <c r="L1326" s="253"/>
      <c r="M1326" s="253"/>
      <c r="N1326" s="253"/>
      <c r="O1326" s="253"/>
      <c r="P1326" s="253"/>
      <c r="Q1326" s="253"/>
      <c r="R1326" s="253"/>
      <c r="S1326" s="253"/>
      <c r="EH1326" s="3"/>
      <c r="GS1326" s="3"/>
    </row>
    <row r="1327" spans="1:201" s="2" customFormat="1" hidden="1" x14ac:dyDescent="0.2">
      <c r="A1327" s="374"/>
      <c r="B1327" s="1"/>
      <c r="C1327" s="374"/>
      <c r="D1327" s="374"/>
      <c r="E1327" s="253"/>
      <c r="F1327" s="410"/>
      <c r="G1327" s="226"/>
      <c r="H1327" s="253"/>
      <c r="I1327" s="253"/>
      <c r="J1327" s="253"/>
      <c r="K1327" s="253"/>
      <c r="L1327" s="253"/>
      <c r="M1327" s="253"/>
      <c r="N1327" s="253"/>
      <c r="O1327" s="253"/>
      <c r="P1327" s="253"/>
      <c r="Q1327" s="253"/>
      <c r="R1327" s="253"/>
      <c r="S1327" s="253"/>
      <c r="EH1327" s="3"/>
      <c r="GS1327" s="3"/>
    </row>
    <row r="1328" spans="1:201" s="2" customFormat="1" hidden="1" x14ac:dyDescent="0.2">
      <c r="A1328" s="374"/>
      <c r="B1328" s="1"/>
      <c r="C1328" s="374"/>
      <c r="D1328" s="374"/>
      <c r="E1328" s="253"/>
      <c r="F1328" s="410"/>
      <c r="G1328" s="226"/>
      <c r="H1328" s="253"/>
      <c r="I1328" s="253"/>
      <c r="J1328" s="253"/>
      <c r="K1328" s="253"/>
      <c r="L1328" s="253"/>
      <c r="M1328" s="253"/>
      <c r="N1328" s="253"/>
      <c r="O1328" s="253"/>
      <c r="P1328" s="253"/>
      <c r="Q1328" s="253"/>
      <c r="R1328" s="253"/>
      <c r="S1328" s="253"/>
      <c r="EH1328" s="3"/>
      <c r="GS1328" s="3"/>
    </row>
    <row r="1329" spans="1:201" s="2" customFormat="1" ht="6" hidden="1" customHeight="1" x14ac:dyDescent="0.2">
      <c r="A1329" s="374"/>
      <c r="B1329" s="1"/>
      <c r="C1329" s="374"/>
      <c r="D1329" s="374"/>
      <c r="E1329" s="253"/>
      <c r="F1329" s="410"/>
      <c r="G1329" s="226"/>
      <c r="H1329" s="253"/>
      <c r="I1329" s="253"/>
      <c r="J1329" s="253"/>
      <c r="K1329" s="253"/>
      <c r="L1329" s="253"/>
      <c r="M1329" s="253"/>
      <c r="N1329" s="253"/>
      <c r="O1329" s="253"/>
      <c r="P1329" s="253"/>
      <c r="Q1329" s="253"/>
      <c r="R1329" s="253"/>
      <c r="S1329" s="253"/>
      <c r="EH1329" s="3"/>
      <c r="GS1329" s="3"/>
    </row>
    <row r="1330" spans="1:201" s="2" customFormat="1" ht="3" hidden="1" customHeight="1" x14ac:dyDescent="0.2">
      <c r="A1330" s="374"/>
      <c r="B1330" s="1"/>
      <c r="C1330" s="374"/>
      <c r="D1330" s="374"/>
      <c r="E1330" s="253"/>
      <c r="F1330" s="410"/>
      <c r="G1330" s="226"/>
      <c r="H1330" s="253"/>
      <c r="I1330" s="253"/>
      <c r="J1330" s="253"/>
      <c r="K1330" s="253"/>
      <c r="L1330" s="253"/>
      <c r="M1330" s="253"/>
      <c r="N1330" s="253"/>
      <c r="O1330" s="253"/>
      <c r="P1330" s="253"/>
      <c r="Q1330" s="253"/>
      <c r="R1330" s="253"/>
      <c r="S1330" s="253"/>
      <c r="EH1330" s="3"/>
      <c r="GS1330" s="3"/>
    </row>
    <row r="1331" spans="1:201" s="2" customFormat="1" ht="1.5" hidden="1" customHeight="1" x14ac:dyDescent="0.2">
      <c r="A1331" s="374"/>
      <c r="B1331" s="1"/>
      <c r="C1331" s="374"/>
      <c r="D1331" s="374"/>
      <c r="E1331" s="253"/>
      <c r="F1331" s="410"/>
      <c r="G1331" s="226"/>
      <c r="H1331" s="253"/>
      <c r="I1331" s="253"/>
      <c r="J1331" s="253"/>
      <c r="K1331" s="253"/>
      <c r="L1331" s="253"/>
      <c r="M1331" s="253"/>
      <c r="N1331" s="253"/>
      <c r="O1331" s="253"/>
      <c r="P1331" s="253"/>
      <c r="Q1331" s="253"/>
      <c r="R1331" s="253"/>
      <c r="S1331" s="253"/>
      <c r="EH1331" s="3"/>
      <c r="GS1331" s="3"/>
    </row>
    <row r="1332" spans="1:201" s="2" customFormat="1" ht="5.25" hidden="1" customHeight="1" x14ac:dyDescent="0.2">
      <c r="A1332" s="374"/>
      <c r="B1332" s="1"/>
      <c r="C1332" s="374"/>
      <c r="D1332" s="374"/>
      <c r="E1332" s="253"/>
      <c r="F1332" s="410"/>
      <c r="G1332" s="226"/>
      <c r="H1332" s="253"/>
      <c r="I1332" s="253"/>
      <c r="J1332" s="253"/>
      <c r="K1332" s="253"/>
      <c r="L1332" s="253"/>
      <c r="M1332" s="253"/>
      <c r="N1332" s="253"/>
      <c r="O1332" s="253"/>
      <c r="P1332" s="253"/>
      <c r="Q1332" s="253"/>
      <c r="R1332" s="253"/>
      <c r="S1332" s="253"/>
      <c r="EH1332" s="3"/>
      <c r="GS1332" s="3"/>
    </row>
    <row r="1333" spans="1:201" s="2" customFormat="1" hidden="1" x14ac:dyDescent="0.2">
      <c r="A1333" s="374"/>
      <c r="B1333" s="1"/>
      <c r="C1333" s="374"/>
      <c r="D1333" s="374"/>
      <c r="E1333" s="253"/>
      <c r="F1333" s="410"/>
      <c r="G1333" s="226"/>
      <c r="H1333" s="253"/>
      <c r="I1333" s="253"/>
      <c r="J1333" s="253"/>
      <c r="K1333" s="253"/>
      <c r="L1333" s="253"/>
      <c r="M1333" s="253"/>
      <c r="N1333" s="253"/>
      <c r="O1333" s="253"/>
      <c r="P1333" s="253"/>
      <c r="Q1333" s="253"/>
      <c r="R1333" s="253"/>
      <c r="S1333" s="253"/>
      <c r="EH1333" s="3"/>
      <c r="GS1333" s="3"/>
    </row>
    <row r="1334" spans="1:201" s="2" customFormat="1" hidden="1" x14ac:dyDescent="0.2">
      <c r="A1334" s="374"/>
      <c r="B1334" s="1"/>
      <c r="C1334" s="374"/>
      <c r="D1334" s="374"/>
      <c r="E1334" s="253"/>
      <c r="F1334" s="410"/>
      <c r="G1334" s="226"/>
      <c r="H1334" s="253"/>
      <c r="I1334" s="253"/>
      <c r="J1334" s="253"/>
      <c r="K1334" s="253"/>
      <c r="L1334" s="253"/>
      <c r="M1334" s="253"/>
      <c r="N1334" s="253"/>
      <c r="O1334" s="253"/>
      <c r="P1334" s="253"/>
      <c r="Q1334" s="253"/>
      <c r="R1334" s="253"/>
      <c r="S1334" s="253"/>
      <c r="EH1334" s="3"/>
      <c r="GS1334" s="3"/>
    </row>
    <row r="1335" spans="1:201" s="2" customFormat="1" hidden="1" x14ac:dyDescent="0.2">
      <c r="A1335" s="374"/>
      <c r="B1335" s="1"/>
      <c r="C1335" s="374"/>
      <c r="D1335" s="374"/>
      <c r="E1335" s="253"/>
      <c r="F1335" s="410"/>
      <c r="G1335" s="226"/>
      <c r="H1335" s="253"/>
      <c r="I1335" s="253"/>
      <c r="J1335" s="253"/>
      <c r="K1335" s="253"/>
      <c r="L1335" s="253"/>
      <c r="M1335" s="253"/>
      <c r="N1335" s="253"/>
      <c r="O1335" s="253"/>
      <c r="P1335" s="253"/>
      <c r="Q1335" s="253"/>
      <c r="R1335" s="253"/>
      <c r="S1335" s="253"/>
      <c r="EH1335" s="3"/>
      <c r="GS1335" s="3"/>
    </row>
    <row r="1336" spans="1:201" s="2" customFormat="1" hidden="1" x14ac:dyDescent="0.2">
      <c r="A1336" s="374"/>
      <c r="B1336" s="1"/>
      <c r="C1336" s="374"/>
      <c r="D1336" s="374"/>
      <c r="E1336" s="253"/>
      <c r="F1336" s="410"/>
      <c r="G1336" s="226"/>
      <c r="H1336" s="253"/>
      <c r="I1336" s="253"/>
      <c r="J1336" s="253"/>
      <c r="K1336" s="253"/>
      <c r="L1336" s="253"/>
      <c r="M1336" s="253"/>
      <c r="N1336" s="253"/>
      <c r="O1336" s="253"/>
      <c r="P1336" s="253"/>
      <c r="Q1336" s="253"/>
      <c r="R1336" s="253"/>
      <c r="S1336" s="253"/>
      <c r="EH1336" s="3"/>
      <c r="GS1336" s="3"/>
    </row>
    <row r="1337" spans="1:201" s="2" customFormat="1" hidden="1" x14ac:dyDescent="0.2">
      <c r="A1337" s="374"/>
      <c r="B1337" s="1"/>
      <c r="C1337" s="374"/>
      <c r="D1337" s="374"/>
      <c r="E1337" s="253"/>
      <c r="F1337" s="410"/>
      <c r="G1337" s="226"/>
      <c r="H1337" s="253"/>
      <c r="I1337" s="253"/>
      <c r="J1337" s="253"/>
      <c r="K1337" s="253"/>
      <c r="L1337" s="253"/>
      <c r="M1337" s="253"/>
      <c r="N1337" s="253"/>
      <c r="O1337" s="253"/>
      <c r="P1337" s="253"/>
      <c r="Q1337" s="253"/>
      <c r="R1337" s="253"/>
      <c r="S1337" s="253"/>
      <c r="EH1337" s="3"/>
      <c r="GS1337" s="3"/>
    </row>
    <row r="1338" spans="1:201" s="2" customFormat="1" hidden="1" x14ac:dyDescent="0.2">
      <c r="A1338" s="374"/>
      <c r="B1338" s="1"/>
      <c r="C1338" s="374"/>
      <c r="D1338" s="374"/>
      <c r="E1338" s="253"/>
      <c r="F1338" s="410"/>
      <c r="G1338" s="226"/>
      <c r="H1338" s="253"/>
      <c r="I1338" s="253"/>
      <c r="J1338" s="253"/>
      <c r="K1338" s="253"/>
      <c r="L1338" s="253"/>
      <c r="M1338" s="253"/>
      <c r="N1338" s="253"/>
      <c r="O1338" s="253"/>
      <c r="P1338" s="253"/>
      <c r="Q1338" s="253"/>
      <c r="R1338" s="253"/>
      <c r="S1338" s="253"/>
      <c r="EH1338" s="3"/>
      <c r="GS1338" s="3"/>
    </row>
    <row r="1339" spans="1:201" s="2" customFormat="1" hidden="1" x14ac:dyDescent="0.2">
      <c r="A1339" s="374"/>
      <c r="B1339" s="1"/>
      <c r="C1339" s="374"/>
      <c r="D1339" s="374"/>
      <c r="E1339" s="253"/>
      <c r="F1339" s="410"/>
      <c r="G1339" s="226"/>
      <c r="H1339" s="253"/>
      <c r="I1339" s="253"/>
      <c r="J1339" s="253"/>
      <c r="K1339" s="253"/>
      <c r="L1339" s="253"/>
      <c r="M1339" s="253"/>
      <c r="N1339" s="253"/>
      <c r="O1339" s="253"/>
      <c r="P1339" s="253"/>
      <c r="Q1339" s="253"/>
      <c r="R1339" s="253"/>
      <c r="S1339" s="253"/>
      <c r="EH1339" s="3"/>
      <c r="GS1339" s="3"/>
    </row>
    <row r="1340" spans="1:201" s="2" customFormat="1" hidden="1" x14ac:dyDescent="0.2">
      <c r="A1340" s="374"/>
      <c r="B1340" s="1"/>
      <c r="C1340" s="374"/>
      <c r="D1340" s="374"/>
      <c r="E1340" s="253"/>
      <c r="F1340" s="410"/>
      <c r="G1340" s="226"/>
      <c r="H1340" s="253"/>
      <c r="I1340" s="253"/>
      <c r="J1340" s="253"/>
      <c r="K1340" s="253"/>
      <c r="L1340" s="253"/>
      <c r="M1340" s="253"/>
      <c r="N1340" s="253"/>
      <c r="O1340" s="253"/>
      <c r="P1340" s="253"/>
      <c r="Q1340" s="253"/>
      <c r="R1340" s="253"/>
      <c r="S1340" s="253"/>
      <c r="EH1340" s="3"/>
      <c r="GS1340" s="3"/>
    </row>
    <row r="1341" spans="1:201" s="2" customFormat="1" hidden="1" x14ac:dyDescent="0.2">
      <c r="A1341" s="374"/>
      <c r="B1341" s="1"/>
      <c r="C1341" s="374"/>
      <c r="D1341" s="374"/>
      <c r="E1341" s="253"/>
      <c r="F1341" s="410"/>
      <c r="G1341" s="226"/>
      <c r="H1341" s="253"/>
      <c r="I1341" s="253"/>
      <c r="J1341" s="253"/>
      <c r="K1341" s="253"/>
      <c r="L1341" s="253"/>
      <c r="M1341" s="253"/>
      <c r="N1341" s="253"/>
      <c r="O1341" s="253"/>
      <c r="P1341" s="253"/>
      <c r="Q1341" s="253"/>
      <c r="R1341" s="253"/>
      <c r="S1341" s="253"/>
      <c r="EH1341" s="3"/>
      <c r="GS1341" s="3"/>
    </row>
    <row r="1342" spans="1:201" s="2" customFormat="1" hidden="1" x14ac:dyDescent="0.2">
      <c r="A1342" s="374"/>
      <c r="B1342" s="1"/>
      <c r="C1342" s="374"/>
      <c r="D1342" s="374"/>
      <c r="E1342" s="253"/>
      <c r="F1342" s="410"/>
      <c r="G1342" s="226"/>
      <c r="H1342" s="253"/>
      <c r="I1342" s="253"/>
      <c r="J1342" s="253"/>
      <c r="K1342" s="253"/>
      <c r="L1342" s="253"/>
      <c r="M1342" s="253"/>
      <c r="N1342" s="253"/>
      <c r="O1342" s="253"/>
      <c r="P1342" s="253"/>
      <c r="Q1342" s="253"/>
      <c r="R1342" s="253"/>
      <c r="S1342" s="253"/>
      <c r="EH1342" s="3"/>
      <c r="GS1342" s="3"/>
    </row>
    <row r="1343" spans="1:201" s="2" customFormat="1" hidden="1" x14ac:dyDescent="0.2">
      <c r="A1343" s="374"/>
      <c r="B1343" s="1"/>
      <c r="C1343" s="374"/>
      <c r="D1343" s="374"/>
      <c r="E1343" s="253"/>
      <c r="F1343" s="410"/>
      <c r="G1343" s="226"/>
      <c r="H1343" s="253"/>
      <c r="I1343" s="253"/>
      <c r="J1343" s="253"/>
      <c r="K1343" s="253"/>
      <c r="L1343" s="253"/>
      <c r="M1343" s="253"/>
      <c r="N1343" s="253"/>
      <c r="O1343" s="253"/>
      <c r="P1343" s="253"/>
      <c r="Q1343" s="253"/>
      <c r="R1343" s="253"/>
      <c r="S1343" s="253"/>
      <c r="EH1343" s="3"/>
      <c r="GS1343" s="3"/>
    </row>
    <row r="1344" spans="1:201" s="2" customFormat="1" hidden="1" x14ac:dyDescent="0.2">
      <c r="A1344" s="374"/>
      <c r="B1344" s="1"/>
      <c r="C1344" s="374"/>
      <c r="D1344" s="374"/>
      <c r="E1344" s="253"/>
      <c r="F1344" s="410"/>
      <c r="G1344" s="226"/>
      <c r="H1344" s="253"/>
      <c r="I1344" s="253"/>
      <c r="J1344" s="253"/>
      <c r="K1344" s="253"/>
      <c r="L1344" s="253"/>
      <c r="M1344" s="253"/>
      <c r="N1344" s="253"/>
      <c r="O1344" s="253"/>
      <c r="P1344" s="253"/>
      <c r="Q1344" s="253"/>
      <c r="R1344" s="253"/>
      <c r="S1344" s="253"/>
      <c r="EH1344" s="3"/>
      <c r="GS1344" s="3"/>
    </row>
    <row r="1345" spans="1:256" s="2" customFormat="1" hidden="1" x14ac:dyDescent="0.2">
      <c r="A1345" s="374"/>
      <c r="B1345" s="1"/>
      <c r="C1345" s="374"/>
      <c r="D1345" s="374"/>
      <c r="E1345" s="253"/>
      <c r="F1345" s="410"/>
      <c r="G1345" s="226"/>
      <c r="H1345" s="253"/>
      <c r="I1345" s="253"/>
      <c r="J1345" s="253"/>
      <c r="K1345" s="253"/>
      <c r="L1345" s="253"/>
      <c r="M1345" s="253"/>
      <c r="N1345" s="253"/>
      <c r="O1345" s="253"/>
      <c r="P1345" s="253"/>
      <c r="Q1345" s="253"/>
      <c r="R1345" s="253"/>
      <c r="S1345" s="253"/>
      <c r="EH1345" s="3"/>
      <c r="GS1345" s="3"/>
    </row>
    <row r="1346" spans="1:256" s="2" customFormat="1" ht="56.25" hidden="1" customHeight="1" x14ac:dyDescent="0.2">
      <c r="A1346" s="374"/>
      <c r="B1346" s="1"/>
      <c r="C1346" s="374"/>
      <c r="D1346" s="374"/>
      <c r="E1346" s="253"/>
      <c r="F1346" s="410"/>
      <c r="G1346" s="226"/>
      <c r="H1346" s="253"/>
      <c r="I1346" s="253"/>
      <c r="J1346" s="253"/>
      <c r="K1346" s="253"/>
      <c r="L1346" s="253"/>
      <c r="M1346" s="253"/>
      <c r="N1346" s="253"/>
      <c r="O1346" s="253"/>
      <c r="P1346" s="253"/>
      <c r="Q1346" s="253"/>
      <c r="R1346" s="253"/>
      <c r="S1346" s="253"/>
      <c r="EH1346" s="3"/>
      <c r="GS1346" s="3"/>
    </row>
    <row r="1347" spans="1:256" s="2" customFormat="1" ht="56.25" hidden="1" customHeight="1" x14ac:dyDescent="0.2">
      <c r="A1347" s="374"/>
      <c r="B1347" s="1"/>
      <c r="C1347" s="374"/>
      <c r="D1347" s="374"/>
      <c r="E1347" s="253"/>
      <c r="F1347" s="410"/>
      <c r="G1347" s="226"/>
      <c r="H1347" s="253"/>
      <c r="I1347" s="253"/>
      <c r="J1347" s="253"/>
      <c r="K1347" s="253"/>
      <c r="L1347" s="253"/>
      <c r="M1347" s="253"/>
      <c r="N1347" s="253"/>
      <c r="O1347" s="253"/>
      <c r="P1347" s="253"/>
      <c r="Q1347" s="253"/>
      <c r="R1347" s="253"/>
      <c r="S1347" s="253"/>
      <c r="EH1347" s="3"/>
      <c r="GS1347" s="3"/>
    </row>
    <row r="1348" spans="1:256" s="2" customFormat="1" ht="56.25" hidden="1" customHeight="1" x14ac:dyDescent="0.2">
      <c r="A1348" s="374"/>
      <c r="B1348" s="1"/>
      <c r="C1348" s="374"/>
      <c r="D1348" s="374"/>
      <c r="E1348" s="253"/>
      <c r="F1348" s="410"/>
      <c r="G1348" s="226"/>
      <c r="H1348" s="253"/>
      <c r="I1348" s="253"/>
      <c r="J1348" s="253"/>
      <c r="K1348" s="253"/>
      <c r="L1348" s="253"/>
      <c r="M1348" s="253"/>
      <c r="N1348" s="253"/>
      <c r="O1348" s="253"/>
      <c r="P1348" s="253"/>
      <c r="Q1348" s="253"/>
      <c r="R1348" s="253"/>
      <c r="S1348" s="253"/>
      <c r="EH1348" s="3"/>
      <c r="GS1348" s="3"/>
    </row>
    <row r="1349" spans="1:256" s="2" customFormat="1" ht="56.25" hidden="1" customHeight="1" x14ac:dyDescent="0.2">
      <c r="A1349" s="374"/>
      <c r="B1349" s="1"/>
      <c r="C1349" s="374"/>
      <c r="D1349" s="374"/>
      <c r="E1349" s="253"/>
      <c r="F1349" s="410"/>
      <c r="G1349" s="226"/>
      <c r="H1349" s="253"/>
      <c r="I1349" s="253"/>
      <c r="J1349" s="253"/>
      <c r="K1349" s="253"/>
      <c r="L1349" s="253"/>
      <c r="M1349" s="253"/>
      <c r="N1349" s="253"/>
      <c r="O1349" s="253"/>
      <c r="P1349" s="253"/>
      <c r="Q1349" s="253"/>
      <c r="R1349" s="253"/>
      <c r="S1349" s="253"/>
      <c r="EH1349" s="3"/>
      <c r="GS1349" s="3"/>
    </row>
    <row r="1350" spans="1:256" s="2" customFormat="1" ht="56.25" hidden="1" customHeight="1" x14ac:dyDescent="0.2">
      <c r="A1350" s="374"/>
      <c r="B1350" s="1"/>
      <c r="C1350" s="374"/>
      <c r="D1350" s="374"/>
      <c r="E1350" s="253"/>
      <c r="F1350" s="410"/>
      <c r="G1350" s="226"/>
      <c r="H1350" s="253"/>
      <c r="I1350" s="253"/>
      <c r="J1350" s="253"/>
      <c r="K1350" s="253"/>
      <c r="L1350" s="253"/>
      <c r="M1350" s="253"/>
      <c r="N1350" s="253"/>
      <c r="O1350" s="253"/>
      <c r="P1350" s="253"/>
      <c r="Q1350" s="253"/>
      <c r="R1350" s="253"/>
      <c r="S1350" s="253"/>
      <c r="EH1350" s="3"/>
      <c r="GS1350" s="3"/>
    </row>
    <row r="1351" spans="1:256" s="2" customFormat="1" ht="288" hidden="1" customHeight="1" x14ac:dyDescent="0.2">
      <c r="A1351" s="374"/>
      <c r="B1351" s="1"/>
      <c r="C1351" s="374"/>
      <c r="D1351" s="374"/>
      <c r="E1351" s="253"/>
      <c r="F1351" s="410"/>
      <c r="G1351" s="226"/>
      <c r="H1351" s="253"/>
      <c r="I1351" s="253"/>
      <c r="J1351" s="253"/>
      <c r="K1351" s="253"/>
      <c r="L1351" s="253"/>
      <c r="M1351" s="253"/>
      <c r="N1351" s="253"/>
      <c r="O1351" s="253"/>
      <c r="P1351" s="253"/>
      <c r="Q1351" s="253"/>
      <c r="R1351" s="253"/>
      <c r="S1351" s="253"/>
      <c r="EH1351" s="3"/>
    </row>
    <row r="1352" spans="1:256" s="2" customFormat="1" ht="38.25" hidden="1" customHeight="1" x14ac:dyDescent="0.2">
      <c r="A1352" s="427" t="s">
        <v>1709</v>
      </c>
      <c r="B1352" s="427"/>
      <c r="C1352" s="427"/>
      <c r="D1352" s="427"/>
      <c r="E1352" s="427"/>
      <c r="F1352" s="427"/>
      <c r="G1352" s="226"/>
      <c r="H1352" s="253"/>
      <c r="I1352" s="253"/>
      <c r="J1352" s="253"/>
      <c r="K1352" s="253"/>
      <c r="L1352" s="253"/>
      <c r="M1352" s="253"/>
      <c r="N1352" s="253"/>
      <c r="O1352" s="253"/>
      <c r="P1352" s="253"/>
      <c r="Q1352" s="253"/>
      <c r="R1352" s="253"/>
      <c r="S1352" s="253"/>
      <c r="EH1352" s="3"/>
    </row>
    <row r="1353" spans="1:256" s="2" customFormat="1" ht="6" hidden="1" customHeight="1" thickBot="1" x14ac:dyDescent="0.35">
      <c r="A1353" s="186"/>
      <c r="B1353" s="186"/>
      <c r="C1353" s="186"/>
      <c r="D1353" s="186"/>
      <c r="E1353" s="281"/>
      <c r="F1353" s="281"/>
      <c r="G1353" s="226"/>
      <c r="H1353" s="253"/>
      <c r="I1353" s="253"/>
      <c r="J1353" s="253"/>
      <c r="K1353" s="253"/>
      <c r="L1353" s="253"/>
      <c r="M1353" s="253"/>
      <c r="N1353" s="253"/>
      <c r="O1353" s="253"/>
      <c r="P1353" s="253"/>
      <c r="Q1353" s="253"/>
      <c r="R1353" s="253"/>
      <c r="S1353" s="253"/>
      <c r="EH1353" s="3"/>
    </row>
    <row r="1354" spans="1:256" s="2" customFormat="1" ht="64.5" hidden="1" customHeight="1" thickBot="1" x14ac:dyDescent="0.3">
      <c r="A1354" s="236" t="s">
        <v>1710</v>
      </c>
      <c r="B1354" s="236" t="s">
        <v>1711</v>
      </c>
      <c r="C1354" s="237" t="s">
        <v>9</v>
      </c>
      <c r="D1354" s="269" t="s">
        <v>1713</v>
      </c>
      <c r="E1354" s="282" t="s">
        <v>1714</v>
      </c>
      <c r="F1354" s="282" t="s">
        <v>1715</v>
      </c>
      <c r="G1354" s="226"/>
      <c r="H1354" s="253"/>
      <c r="I1354" s="253"/>
      <c r="J1354" s="253"/>
      <c r="K1354" s="253"/>
      <c r="L1354" s="253"/>
      <c r="M1354" s="253"/>
      <c r="N1354" s="253"/>
      <c r="O1354" s="253"/>
      <c r="P1354" s="253"/>
      <c r="Q1354" s="253"/>
      <c r="R1354" s="253"/>
      <c r="S1354" s="253"/>
      <c r="EH1354" s="3"/>
      <c r="GS1354" s="187"/>
    </row>
    <row r="1355" spans="1:256" s="2" customFormat="1" ht="40.5" hidden="1" customHeight="1" x14ac:dyDescent="0.25">
      <c r="A1355" s="415" t="s">
        <v>14</v>
      </c>
      <c r="B1355" s="238" t="s">
        <v>1716</v>
      </c>
      <c r="C1355" s="416" t="s">
        <v>1717</v>
      </c>
      <c r="D1355" s="270">
        <f>2045.93*1.04*1.05</f>
        <v>2234.16</v>
      </c>
      <c r="E1355" s="96">
        <f t="shared" ref="E1355:E1362" si="81">D1355*20%</f>
        <v>446.83</v>
      </c>
      <c r="F1355" s="89">
        <f>D1355+E1355</f>
        <v>2680.99</v>
      </c>
      <c r="G1355" s="226"/>
      <c r="H1355" s="253"/>
      <c r="I1355" s="253"/>
      <c r="J1355" s="253"/>
      <c r="K1355" s="253"/>
      <c r="L1355" s="253"/>
      <c r="M1355" s="253"/>
      <c r="N1355" s="253"/>
      <c r="O1355" s="253"/>
      <c r="P1355" s="253"/>
      <c r="Q1355" s="253"/>
      <c r="R1355" s="253"/>
      <c r="S1355" s="253"/>
      <c r="EH1355" s="3"/>
      <c r="GS1355" s="187"/>
    </row>
    <row r="1356" spans="1:256" s="2" customFormat="1" ht="18.75" hidden="1" customHeight="1" x14ac:dyDescent="0.25">
      <c r="A1356" s="497" t="s">
        <v>26</v>
      </c>
      <c r="B1356" s="499" t="s">
        <v>1719</v>
      </c>
      <c r="C1356" s="501" t="s">
        <v>1717</v>
      </c>
      <c r="D1356" s="261">
        <f>3720.42*1.04*1.05</f>
        <v>4062.7</v>
      </c>
      <c r="E1356" s="96">
        <f t="shared" si="81"/>
        <v>812.54</v>
      </c>
      <c r="F1356" s="89">
        <f>D1356+E1356</f>
        <v>4875.24</v>
      </c>
      <c r="G1356" s="283" t="s">
        <v>1849</v>
      </c>
      <c r="H1356" s="253"/>
      <c r="I1356" s="253"/>
      <c r="J1356" s="253"/>
      <c r="K1356" s="253"/>
      <c r="L1356" s="253"/>
      <c r="M1356" s="253"/>
      <c r="N1356" s="253"/>
      <c r="O1356" s="253"/>
      <c r="P1356" s="253"/>
      <c r="Q1356" s="253"/>
      <c r="R1356" s="253"/>
      <c r="S1356" s="253"/>
      <c r="EH1356" s="3"/>
      <c r="GS1356" s="187"/>
      <c r="IV1356" s="189"/>
    </row>
    <row r="1357" spans="1:256" s="2" customFormat="1" ht="19.5" hidden="1" customHeight="1" x14ac:dyDescent="0.25">
      <c r="A1357" s="516"/>
      <c r="B1357" s="517"/>
      <c r="C1357" s="518"/>
      <c r="D1357" s="261"/>
      <c r="E1357" s="96">
        <f t="shared" si="81"/>
        <v>0</v>
      </c>
      <c r="F1357" s="89"/>
      <c r="G1357" s="283" t="s">
        <v>1850</v>
      </c>
      <c r="H1357" s="253"/>
      <c r="I1357" s="253"/>
      <c r="J1357" s="253"/>
      <c r="K1357" s="253"/>
      <c r="L1357" s="253"/>
      <c r="M1357" s="253"/>
      <c r="N1357" s="253"/>
      <c r="O1357" s="253"/>
      <c r="P1357" s="253"/>
      <c r="Q1357" s="253"/>
      <c r="R1357" s="253"/>
      <c r="S1357" s="253"/>
      <c r="EH1357" s="3"/>
      <c r="GS1357" s="187"/>
      <c r="IV1357" s="189"/>
    </row>
    <row r="1358" spans="1:256" s="2" customFormat="1" ht="18" hidden="1" customHeight="1" thickBot="1" x14ac:dyDescent="0.3">
      <c r="A1358" s="498"/>
      <c r="B1358" s="500"/>
      <c r="C1358" s="502"/>
      <c r="D1358" s="261"/>
      <c r="E1358" s="96">
        <f t="shared" si="81"/>
        <v>0</v>
      </c>
      <c r="F1358" s="89"/>
      <c r="G1358" s="283" t="s">
        <v>1851</v>
      </c>
      <c r="H1358" s="253"/>
      <c r="I1358" s="253"/>
      <c r="J1358" s="253"/>
      <c r="K1358" s="253"/>
      <c r="L1358" s="253"/>
      <c r="M1358" s="253"/>
      <c r="N1358" s="253"/>
      <c r="O1358" s="253"/>
      <c r="P1358" s="253"/>
      <c r="Q1358" s="253"/>
      <c r="R1358" s="253"/>
      <c r="S1358" s="253"/>
      <c r="EH1358" s="3"/>
      <c r="GS1358" s="187"/>
      <c r="IV1358" s="189"/>
    </row>
    <row r="1359" spans="1:256" s="2" customFormat="1" ht="63.75" hidden="1" customHeight="1" thickBot="1" x14ac:dyDescent="0.3">
      <c r="A1359" s="407" t="s">
        <v>29</v>
      </c>
      <c r="B1359" s="408" t="s">
        <v>1721</v>
      </c>
      <c r="C1359" s="409" t="s">
        <v>1717</v>
      </c>
      <c r="D1359" s="261">
        <f>2325.67*1.04*1.05</f>
        <v>2539.63</v>
      </c>
      <c r="E1359" s="96">
        <f t="shared" si="81"/>
        <v>507.93</v>
      </c>
      <c r="F1359" s="89">
        <f>D1359+E1359</f>
        <v>3047.56</v>
      </c>
      <c r="G1359" s="226"/>
      <c r="H1359" s="253"/>
      <c r="I1359" s="253"/>
      <c r="J1359" s="253"/>
      <c r="K1359" s="253"/>
      <c r="L1359" s="253"/>
      <c r="M1359" s="253"/>
      <c r="N1359" s="253"/>
      <c r="O1359" s="253"/>
      <c r="P1359" s="253"/>
      <c r="Q1359" s="253"/>
      <c r="R1359" s="253"/>
      <c r="S1359" s="253"/>
      <c r="EH1359" s="3"/>
      <c r="GS1359" s="187"/>
      <c r="IV1359" s="190">
        <v>2118.64</v>
      </c>
    </row>
    <row r="1360" spans="1:256" s="2" customFormat="1" ht="33" hidden="1" customHeight="1" x14ac:dyDescent="0.25">
      <c r="A1360" s="497" t="s">
        <v>31</v>
      </c>
      <c r="B1360" s="499" t="s">
        <v>1722</v>
      </c>
      <c r="C1360" s="501" t="s">
        <v>1717</v>
      </c>
      <c r="D1360" s="261">
        <f>3255.5*1.04*1.05-0.01</f>
        <v>3555</v>
      </c>
      <c r="E1360" s="96">
        <f t="shared" si="81"/>
        <v>711</v>
      </c>
      <c r="F1360" s="89">
        <f>D1360+E1360</f>
        <v>4266</v>
      </c>
      <c r="G1360" s="283" t="s">
        <v>1849</v>
      </c>
      <c r="H1360" s="253"/>
      <c r="I1360" s="253"/>
      <c r="J1360" s="253"/>
      <c r="K1360" s="253"/>
      <c r="L1360" s="253"/>
      <c r="M1360" s="253"/>
      <c r="N1360" s="253"/>
      <c r="O1360" s="253"/>
      <c r="P1360" s="253"/>
      <c r="Q1360" s="253"/>
      <c r="R1360" s="253"/>
      <c r="S1360" s="253"/>
      <c r="EH1360" s="3"/>
      <c r="GS1360" s="187"/>
      <c r="IV1360" s="190">
        <v>2966.1</v>
      </c>
    </row>
    <row r="1361" spans="1:256" s="2" customFormat="1" ht="39" hidden="1" customHeight="1" x14ac:dyDescent="0.25">
      <c r="A1361" s="498"/>
      <c r="B1361" s="500"/>
      <c r="C1361" s="502"/>
      <c r="D1361" s="261">
        <v>4500</v>
      </c>
      <c r="E1361" s="96">
        <f t="shared" si="81"/>
        <v>900</v>
      </c>
      <c r="F1361" s="89">
        <f>D1361+E1361</f>
        <v>5400</v>
      </c>
      <c r="G1361" s="284" t="s">
        <v>1852</v>
      </c>
      <c r="H1361" s="253"/>
      <c r="I1361" s="253"/>
      <c r="J1361" s="253"/>
      <c r="K1361" s="253"/>
      <c r="L1361" s="253"/>
      <c r="M1361" s="253"/>
      <c r="N1361" s="253"/>
      <c r="O1361" s="253"/>
      <c r="P1361" s="253"/>
      <c r="Q1361" s="253"/>
      <c r="R1361" s="253"/>
      <c r="S1361" s="253"/>
      <c r="EH1361" s="3"/>
      <c r="GS1361" s="187"/>
      <c r="IV1361" s="189"/>
    </row>
    <row r="1362" spans="1:256" s="2" customFormat="1" ht="57" hidden="1" customHeight="1" thickBot="1" x14ac:dyDescent="0.3">
      <c r="A1362" s="407" t="s">
        <v>33</v>
      </c>
      <c r="B1362" s="408" t="s">
        <v>1724</v>
      </c>
      <c r="C1362" s="409" t="s">
        <v>1717</v>
      </c>
      <c r="D1362" s="261">
        <f>2603.53*1.04*1.05</f>
        <v>2843.05</v>
      </c>
      <c r="E1362" s="96">
        <f t="shared" si="81"/>
        <v>568.61</v>
      </c>
      <c r="F1362" s="89">
        <f>D1362+E1362</f>
        <v>3411.66</v>
      </c>
      <c r="G1362" s="226"/>
      <c r="H1362" s="253"/>
      <c r="I1362" s="253"/>
      <c r="J1362" s="253"/>
      <c r="K1362" s="253"/>
      <c r="L1362" s="253"/>
      <c r="M1362" s="253"/>
      <c r="N1362" s="253"/>
      <c r="O1362" s="253"/>
      <c r="P1362" s="253"/>
      <c r="Q1362" s="253"/>
      <c r="R1362" s="253"/>
      <c r="S1362" s="253"/>
      <c r="EH1362" s="191"/>
      <c r="GS1362" s="187"/>
      <c r="IV1362" s="192">
        <v>2372.88</v>
      </c>
    </row>
    <row r="1363" spans="1:256" s="2" customFormat="1" ht="54" hidden="1" customHeight="1" x14ac:dyDescent="0.25">
      <c r="A1363" s="407" t="s">
        <v>35</v>
      </c>
      <c r="B1363" s="503" t="s">
        <v>1725</v>
      </c>
      <c r="C1363" s="504"/>
      <c r="D1363" s="504"/>
      <c r="E1363" s="504"/>
      <c r="F1363" s="505"/>
      <c r="G1363" s="226"/>
      <c r="H1363" s="253"/>
      <c r="I1363" s="253"/>
      <c r="J1363" s="253"/>
      <c r="K1363" s="253"/>
      <c r="L1363" s="253"/>
      <c r="M1363" s="253"/>
      <c r="N1363" s="253"/>
      <c r="O1363" s="253"/>
      <c r="P1363" s="253"/>
      <c r="Q1363" s="253"/>
      <c r="R1363" s="253"/>
      <c r="S1363" s="253"/>
      <c r="EH1363" s="187"/>
    </row>
    <row r="1364" spans="1:256" s="2" customFormat="1" ht="15" hidden="1" customHeight="1" x14ac:dyDescent="0.25">
      <c r="A1364" s="187"/>
      <c r="B1364" s="187"/>
      <c r="C1364" s="187"/>
      <c r="D1364" s="187"/>
      <c r="E1364" s="285"/>
      <c r="F1364" s="285"/>
      <c r="G1364" s="226"/>
      <c r="H1364" s="253"/>
      <c r="I1364" s="253"/>
      <c r="J1364" s="253"/>
      <c r="K1364" s="253"/>
      <c r="L1364" s="253"/>
      <c r="M1364" s="253"/>
      <c r="N1364" s="253"/>
      <c r="O1364" s="253"/>
      <c r="P1364" s="253"/>
      <c r="Q1364" s="253"/>
      <c r="R1364" s="253"/>
      <c r="S1364" s="253"/>
      <c r="EH1364" s="187"/>
    </row>
    <row r="1365" spans="1:256" s="2" customFormat="1" ht="15" hidden="1" customHeight="1" x14ac:dyDescent="0.2">
      <c r="A1365" s="193"/>
      <c r="B1365" s="193"/>
      <c r="C1365" s="193"/>
      <c r="D1365" s="193"/>
      <c r="E1365" s="286"/>
      <c r="F1365" s="286"/>
      <c r="G1365" s="226"/>
      <c r="H1365" s="253"/>
      <c r="I1365" s="253"/>
      <c r="J1365" s="253"/>
      <c r="K1365" s="253"/>
      <c r="L1365" s="253"/>
      <c r="M1365" s="253"/>
      <c r="N1365" s="253"/>
      <c r="O1365" s="253"/>
      <c r="P1365" s="253"/>
      <c r="Q1365" s="253"/>
      <c r="R1365" s="253"/>
      <c r="S1365" s="253"/>
      <c r="EH1365" s="193"/>
    </row>
    <row r="1366" spans="1:256" s="2" customFormat="1" ht="29.25" hidden="1" customHeight="1" x14ac:dyDescent="0.2">
      <c r="A1366" s="193"/>
      <c r="B1366" s="193"/>
      <c r="C1366" s="193"/>
      <c r="D1366" s="193"/>
      <c r="E1366" s="286"/>
      <c r="F1366" s="286"/>
      <c r="G1366" s="226"/>
      <c r="H1366" s="253"/>
      <c r="I1366" s="253"/>
      <c r="J1366" s="253"/>
      <c r="K1366" s="253"/>
      <c r="L1366" s="253"/>
      <c r="M1366" s="253"/>
      <c r="N1366" s="253"/>
      <c r="O1366" s="253"/>
      <c r="P1366" s="253"/>
      <c r="Q1366" s="253"/>
      <c r="R1366" s="253"/>
      <c r="S1366" s="253"/>
      <c r="EH1366" s="193"/>
    </row>
    <row r="1367" spans="1:256" s="2" customFormat="1" ht="27" hidden="1" customHeight="1" x14ac:dyDescent="0.2">
      <c r="A1367" s="427" t="s">
        <v>1726</v>
      </c>
      <c r="B1367" s="427"/>
      <c r="C1367" s="427"/>
      <c r="D1367" s="427"/>
      <c r="E1367" s="427"/>
      <c r="F1367" s="427"/>
      <c r="G1367" s="226"/>
      <c r="H1367" s="253"/>
      <c r="I1367" s="253"/>
      <c r="J1367" s="253"/>
      <c r="K1367" s="253"/>
      <c r="L1367" s="253"/>
      <c r="M1367" s="253"/>
      <c r="N1367" s="253"/>
      <c r="O1367" s="253"/>
      <c r="P1367" s="253"/>
      <c r="Q1367" s="253"/>
      <c r="R1367" s="253"/>
      <c r="S1367" s="253"/>
      <c r="EH1367" s="193"/>
    </row>
    <row r="1368" spans="1:256" s="2" customFormat="1" ht="15" hidden="1" customHeight="1" thickBot="1" x14ac:dyDescent="0.25">
      <c r="A1368" s="193"/>
      <c r="B1368" s="193"/>
      <c r="C1368" s="193"/>
      <c r="D1368" s="193"/>
      <c r="E1368" s="286"/>
      <c r="F1368" s="286"/>
      <c r="G1368" s="226"/>
      <c r="H1368" s="253"/>
      <c r="I1368" s="253"/>
      <c r="J1368" s="253"/>
      <c r="K1368" s="253"/>
      <c r="L1368" s="253"/>
      <c r="M1368" s="253"/>
      <c r="N1368" s="253"/>
      <c r="O1368" s="253"/>
      <c r="P1368" s="253"/>
      <c r="Q1368" s="253"/>
      <c r="R1368" s="253"/>
      <c r="S1368" s="253"/>
      <c r="EH1368" s="193"/>
    </row>
    <row r="1369" spans="1:256" s="2" customFormat="1" ht="15.75" hidden="1" customHeight="1" thickBot="1" x14ac:dyDescent="0.25">
      <c r="A1369" s="193"/>
      <c r="B1369" s="193"/>
      <c r="C1369" s="193"/>
      <c r="D1369" s="193"/>
      <c r="E1369" s="286"/>
      <c r="F1369" s="286"/>
      <c r="G1369" s="226"/>
      <c r="H1369" s="253"/>
      <c r="I1369" s="253"/>
      <c r="J1369" s="253"/>
      <c r="K1369" s="253"/>
      <c r="L1369" s="253"/>
      <c r="M1369" s="253"/>
      <c r="N1369" s="253"/>
      <c r="O1369" s="253"/>
      <c r="P1369" s="253"/>
      <c r="Q1369" s="253"/>
      <c r="R1369" s="253"/>
      <c r="S1369" s="253"/>
      <c r="EH1369" s="193"/>
    </row>
    <row r="1370" spans="1:256" s="2" customFormat="1" ht="70.5" hidden="1" customHeight="1" thickBot="1" x14ac:dyDescent="0.25">
      <c r="A1370" s="239" t="s">
        <v>1321</v>
      </c>
      <c r="B1370" s="240" t="s">
        <v>1021</v>
      </c>
      <c r="C1370" s="240" t="s">
        <v>9</v>
      </c>
      <c r="D1370" s="271" t="s">
        <v>10</v>
      </c>
      <c r="E1370" s="200" t="s">
        <v>11</v>
      </c>
      <c r="F1370" s="371" t="s">
        <v>12</v>
      </c>
      <c r="G1370" s="226"/>
      <c r="H1370" s="253"/>
      <c r="I1370" s="253"/>
      <c r="J1370" s="253"/>
      <c r="K1370" s="253"/>
      <c r="L1370" s="253"/>
      <c r="M1370" s="253"/>
      <c r="N1370" s="253"/>
      <c r="O1370" s="253"/>
      <c r="P1370" s="253"/>
      <c r="Q1370" s="253"/>
      <c r="R1370" s="253"/>
      <c r="S1370" s="253"/>
      <c r="EH1370" s="193"/>
    </row>
    <row r="1371" spans="1:256" s="2" customFormat="1" ht="18.75" hidden="1" customHeight="1" thickBot="1" x14ac:dyDescent="0.25">
      <c r="A1371" s="241">
        <v>1</v>
      </c>
      <c r="B1371" s="242">
        <v>2</v>
      </c>
      <c r="C1371" s="242">
        <v>3</v>
      </c>
      <c r="D1371" s="272">
        <v>4</v>
      </c>
      <c r="E1371" s="228">
        <v>5</v>
      </c>
      <c r="F1371" s="228">
        <v>6</v>
      </c>
      <c r="G1371" s="226"/>
      <c r="H1371" s="253"/>
      <c r="I1371" s="253"/>
      <c r="J1371" s="253"/>
      <c r="K1371" s="253"/>
      <c r="L1371" s="253"/>
      <c r="M1371" s="253"/>
      <c r="N1371" s="253"/>
      <c r="O1371" s="253"/>
      <c r="P1371" s="253"/>
      <c r="Q1371" s="253"/>
      <c r="R1371" s="253"/>
      <c r="S1371" s="253"/>
      <c r="EH1371" s="193"/>
    </row>
    <row r="1372" spans="1:256" s="2" customFormat="1" ht="52.5" hidden="1" customHeight="1" x14ac:dyDescent="0.2">
      <c r="A1372" s="243" t="s">
        <v>14</v>
      </c>
      <c r="B1372" s="381" t="s">
        <v>1727</v>
      </c>
      <c r="C1372" s="379" t="s">
        <v>1728</v>
      </c>
      <c r="D1372" s="263">
        <f>754.56*1.05</f>
        <v>792.29</v>
      </c>
      <c r="E1372" s="96">
        <f>D1372*20%</f>
        <v>158.46</v>
      </c>
      <c r="F1372" s="154">
        <f>D1372+E1372</f>
        <v>950.75</v>
      </c>
      <c r="G1372" s="226"/>
      <c r="H1372" s="253"/>
      <c r="I1372" s="253"/>
      <c r="J1372" s="253"/>
      <c r="K1372" s="253"/>
      <c r="L1372" s="253"/>
      <c r="M1372" s="253"/>
      <c r="N1372" s="253"/>
      <c r="O1372" s="253"/>
      <c r="P1372" s="253"/>
      <c r="Q1372" s="253"/>
      <c r="R1372" s="253"/>
      <c r="S1372" s="253"/>
      <c r="EH1372" s="3"/>
    </row>
    <row r="1373" spans="1:256" s="2" customFormat="1" ht="39" hidden="1" customHeight="1" x14ac:dyDescent="0.2">
      <c r="A1373" s="243" t="s">
        <v>26</v>
      </c>
      <c r="B1373" s="381" t="s">
        <v>1729</v>
      </c>
      <c r="C1373" s="379" t="s">
        <v>1689</v>
      </c>
      <c r="D1373" s="263">
        <f>34.92*1.05</f>
        <v>36.67</v>
      </c>
      <c r="E1373" s="96">
        <f>D1373*20%</f>
        <v>7.33</v>
      </c>
      <c r="F1373" s="154">
        <f>D1373+E1373</f>
        <v>44</v>
      </c>
      <c r="G1373" s="226"/>
      <c r="H1373" s="253"/>
      <c r="I1373" s="253"/>
      <c r="J1373" s="253"/>
      <c r="K1373" s="253"/>
      <c r="L1373" s="253"/>
      <c r="M1373" s="253"/>
      <c r="N1373" s="253"/>
      <c r="O1373" s="253"/>
      <c r="P1373" s="253"/>
      <c r="Q1373" s="253"/>
      <c r="R1373" s="253"/>
      <c r="S1373" s="253"/>
      <c r="EH1373" s="3"/>
    </row>
    <row r="1374" spans="1:256" s="2" customFormat="1" ht="58.5" hidden="1" customHeight="1" thickBot="1" x14ac:dyDescent="0.25">
      <c r="A1374" s="506" t="s">
        <v>1730</v>
      </c>
      <c r="B1374" s="507"/>
      <c r="C1374" s="507"/>
      <c r="D1374" s="507"/>
      <c r="E1374" s="507"/>
      <c r="F1374" s="508"/>
      <c r="G1374" s="226"/>
      <c r="H1374" s="253"/>
      <c r="I1374" s="253"/>
      <c r="J1374" s="253"/>
      <c r="K1374" s="253"/>
      <c r="L1374" s="253"/>
      <c r="M1374" s="253"/>
      <c r="N1374" s="253"/>
      <c r="O1374" s="253"/>
      <c r="P1374" s="253"/>
      <c r="Q1374" s="253"/>
      <c r="R1374" s="253"/>
      <c r="S1374" s="253"/>
      <c r="EH1374" s="3"/>
    </row>
    <row r="1375" spans="1:256" s="2" customFormat="1" hidden="1" x14ac:dyDescent="0.2">
      <c r="A1375" s="374"/>
      <c r="B1375" s="1"/>
      <c r="C1375" s="374"/>
      <c r="D1375" s="374"/>
      <c r="E1375" s="253"/>
      <c r="F1375" s="410"/>
      <c r="G1375" s="226"/>
      <c r="H1375" s="253"/>
      <c r="I1375" s="253"/>
      <c r="J1375" s="253"/>
      <c r="K1375" s="253"/>
      <c r="L1375" s="253"/>
      <c r="M1375" s="253"/>
      <c r="N1375" s="253"/>
      <c r="O1375" s="253"/>
      <c r="P1375" s="253"/>
      <c r="Q1375" s="253"/>
      <c r="R1375" s="253"/>
      <c r="S1375" s="253"/>
      <c r="EH1375" s="3"/>
    </row>
    <row r="1376" spans="1:256" s="2" customFormat="1" hidden="1" x14ac:dyDescent="0.2">
      <c r="A1376" s="374"/>
      <c r="B1376" s="1"/>
      <c r="C1376" s="374"/>
      <c r="D1376" s="374"/>
      <c r="E1376" s="253"/>
      <c r="F1376" s="410"/>
      <c r="G1376" s="226"/>
      <c r="H1376" s="253"/>
      <c r="I1376" s="253"/>
      <c r="J1376" s="253"/>
      <c r="K1376" s="253"/>
      <c r="L1376" s="253"/>
      <c r="M1376" s="253"/>
      <c r="N1376" s="253"/>
      <c r="O1376" s="253"/>
      <c r="P1376" s="253"/>
      <c r="Q1376" s="253"/>
      <c r="R1376" s="253"/>
      <c r="S1376" s="253"/>
      <c r="EH1376" s="3"/>
    </row>
    <row r="1377" spans="1:138" s="2" customFormat="1" hidden="1" x14ac:dyDescent="0.2">
      <c r="A1377" s="374"/>
      <c r="B1377" s="1"/>
      <c r="C1377" s="374"/>
      <c r="D1377" s="374"/>
      <c r="E1377" s="253"/>
      <c r="F1377" s="410"/>
      <c r="G1377" s="226"/>
      <c r="H1377" s="253"/>
      <c r="I1377" s="253"/>
      <c r="J1377" s="253"/>
      <c r="K1377" s="253"/>
      <c r="L1377" s="253"/>
      <c r="M1377" s="253"/>
      <c r="N1377" s="253"/>
      <c r="O1377" s="253"/>
      <c r="P1377" s="253"/>
      <c r="Q1377" s="253"/>
      <c r="R1377" s="253"/>
      <c r="S1377" s="253"/>
      <c r="EH1377" s="3"/>
    </row>
    <row r="1378" spans="1:138" s="2" customFormat="1" hidden="1" x14ac:dyDescent="0.2">
      <c r="A1378" s="374"/>
      <c r="B1378" s="1"/>
      <c r="C1378" s="374"/>
      <c r="D1378" s="374"/>
      <c r="E1378" s="253"/>
      <c r="F1378" s="410"/>
      <c r="G1378" s="226"/>
      <c r="H1378" s="253"/>
      <c r="I1378" s="253"/>
      <c r="J1378" s="253"/>
      <c r="K1378" s="253"/>
      <c r="L1378" s="253"/>
      <c r="M1378" s="253"/>
      <c r="N1378" s="253"/>
      <c r="O1378" s="253"/>
      <c r="P1378" s="253"/>
      <c r="Q1378" s="253"/>
      <c r="R1378" s="253"/>
      <c r="S1378" s="253"/>
      <c r="EH1378" s="3"/>
    </row>
    <row r="1379" spans="1:138" s="2" customFormat="1" hidden="1" x14ac:dyDescent="0.2">
      <c r="A1379" s="374"/>
      <c r="B1379" s="1"/>
      <c r="C1379" s="374"/>
      <c r="D1379" s="374"/>
      <c r="E1379" s="253"/>
      <c r="F1379" s="410"/>
      <c r="G1379" s="226"/>
      <c r="H1379" s="253"/>
      <c r="I1379" s="253"/>
      <c r="J1379" s="253"/>
      <c r="K1379" s="253"/>
      <c r="L1379" s="253"/>
      <c r="M1379" s="253"/>
      <c r="N1379" s="253"/>
      <c r="O1379" s="253"/>
      <c r="P1379" s="253"/>
      <c r="Q1379" s="253"/>
      <c r="R1379" s="253"/>
      <c r="S1379" s="253"/>
      <c r="EH1379" s="3"/>
    </row>
    <row r="1380" spans="1:138" s="2" customFormat="1" hidden="1" x14ac:dyDescent="0.2">
      <c r="A1380" s="374"/>
      <c r="B1380" s="1"/>
      <c r="C1380" s="374"/>
      <c r="D1380" s="374"/>
      <c r="E1380" s="253"/>
      <c r="F1380" s="410"/>
      <c r="G1380" s="226"/>
      <c r="H1380" s="253"/>
      <c r="I1380" s="253"/>
      <c r="J1380" s="253"/>
      <c r="K1380" s="253"/>
      <c r="L1380" s="253"/>
      <c r="M1380" s="253"/>
      <c r="N1380" s="253"/>
      <c r="O1380" s="253"/>
      <c r="P1380" s="253"/>
      <c r="Q1380" s="253"/>
      <c r="R1380" s="253"/>
      <c r="S1380" s="253"/>
      <c r="EH1380" s="3"/>
    </row>
    <row r="1381" spans="1:138" s="2" customFormat="1" hidden="1" x14ac:dyDescent="0.2">
      <c r="A1381" s="374"/>
      <c r="B1381" s="1"/>
      <c r="C1381" s="374"/>
      <c r="D1381" s="374"/>
      <c r="E1381" s="253"/>
      <c r="F1381" s="410"/>
      <c r="G1381" s="226"/>
      <c r="H1381" s="253"/>
      <c r="I1381" s="253"/>
      <c r="J1381" s="253"/>
      <c r="K1381" s="253"/>
      <c r="L1381" s="253"/>
      <c r="M1381" s="253"/>
      <c r="N1381" s="253"/>
      <c r="O1381" s="253"/>
      <c r="P1381" s="253"/>
      <c r="Q1381" s="253"/>
      <c r="R1381" s="253"/>
      <c r="S1381" s="253"/>
      <c r="EH1381" s="3"/>
    </row>
    <row r="1382" spans="1:138" s="2" customFormat="1" hidden="1" x14ac:dyDescent="0.2">
      <c r="A1382" s="374"/>
      <c r="B1382" s="1"/>
      <c r="C1382" s="374"/>
      <c r="D1382" s="374"/>
      <c r="E1382" s="253"/>
      <c r="F1382" s="410"/>
      <c r="G1382" s="226"/>
      <c r="H1382" s="253"/>
      <c r="I1382" s="253"/>
      <c r="J1382" s="253"/>
      <c r="K1382" s="253"/>
      <c r="L1382" s="253"/>
      <c r="M1382" s="253"/>
      <c r="N1382" s="253"/>
      <c r="O1382" s="253"/>
      <c r="P1382" s="253"/>
      <c r="Q1382" s="253"/>
      <c r="R1382" s="253"/>
      <c r="S1382" s="253"/>
      <c r="EH1382" s="3"/>
    </row>
    <row r="1383" spans="1:138" s="2" customFormat="1" x14ac:dyDescent="0.2">
      <c r="A1383" s="374"/>
      <c r="B1383" s="1"/>
      <c r="C1383" s="374"/>
      <c r="D1383" s="374"/>
      <c r="E1383" s="253"/>
      <c r="F1383" s="410"/>
      <c r="G1383" s="226"/>
      <c r="H1383" s="253"/>
      <c r="I1383" s="253"/>
      <c r="J1383" s="253"/>
      <c r="K1383" s="253"/>
      <c r="L1383" s="253"/>
      <c r="M1383" s="253"/>
      <c r="N1383" s="253"/>
      <c r="O1383" s="253"/>
      <c r="P1383" s="253"/>
      <c r="Q1383" s="253"/>
      <c r="R1383" s="253"/>
      <c r="S1383" s="253"/>
      <c r="EH1383" s="3"/>
    </row>
    <row r="1384" spans="1:138" s="345" customFormat="1" ht="82.5" customHeight="1" x14ac:dyDescent="0.2">
      <c r="A1384" s="420" t="s">
        <v>2261</v>
      </c>
      <c r="B1384" s="420"/>
      <c r="C1384" s="420"/>
      <c r="D1384" s="420"/>
      <c r="E1384" s="253"/>
      <c r="F1384" s="410"/>
      <c r="G1384" s="226"/>
      <c r="H1384" s="253"/>
      <c r="I1384" s="253"/>
      <c r="J1384" s="253"/>
      <c r="K1384" s="253"/>
      <c r="L1384" s="253"/>
      <c r="M1384" s="253"/>
      <c r="N1384" s="253"/>
      <c r="O1384" s="253"/>
      <c r="P1384" s="253"/>
      <c r="Q1384" s="253"/>
      <c r="R1384" s="253"/>
      <c r="S1384" s="253"/>
      <c r="EH1384" s="346"/>
    </row>
    <row r="1385" spans="1:138" s="345" customFormat="1" ht="47.25" x14ac:dyDescent="0.2">
      <c r="A1385" s="108" t="s">
        <v>1321</v>
      </c>
      <c r="B1385" s="380" t="s">
        <v>1021</v>
      </c>
      <c r="C1385" s="380" t="s">
        <v>9</v>
      </c>
      <c r="D1385" s="386" t="s">
        <v>10</v>
      </c>
      <c r="E1385" s="253"/>
      <c r="F1385" s="410"/>
      <c r="G1385" s="226"/>
      <c r="H1385" s="253"/>
      <c r="I1385" s="253"/>
      <c r="J1385" s="253"/>
      <c r="K1385" s="253"/>
      <c r="L1385" s="253"/>
      <c r="M1385" s="253"/>
      <c r="N1385" s="253"/>
      <c r="O1385" s="253"/>
      <c r="P1385" s="253"/>
      <c r="Q1385" s="253"/>
      <c r="R1385" s="253"/>
      <c r="S1385" s="253"/>
      <c r="EH1385" s="346"/>
    </row>
    <row r="1386" spans="1:138" s="345" customFormat="1" ht="15.75" x14ac:dyDescent="0.2">
      <c r="A1386" s="108">
        <v>1</v>
      </c>
      <c r="B1386" s="170">
        <v>2</v>
      </c>
      <c r="C1386" s="170">
        <v>3</v>
      </c>
      <c r="D1386" s="170">
        <v>4</v>
      </c>
      <c r="E1386" s="253"/>
      <c r="F1386" s="410"/>
      <c r="G1386" s="226"/>
      <c r="H1386" s="253"/>
      <c r="I1386" s="253"/>
      <c r="J1386" s="253"/>
      <c r="K1386" s="253"/>
      <c r="L1386" s="253"/>
      <c r="M1386" s="253"/>
      <c r="N1386" s="253"/>
      <c r="O1386" s="253"/>
      <c r="P1386" s="253"/>
      <c r="Q1386" s="253"/>
      <c r="R1386" s="253"/>
      <c r="S1386" s="253"/>
      <c r="EH1386" s="346"/>
    </row>
    <row r="1387" spans="1:138" s="345" customFormat="1" ht="41.25" customHeight="1" x14ac:dyDescent="0.2">
      <c r="A1387" s="429" t="s">
        <v>1846</v>
      </c>
      <c r="B1387" s="429"/>
      <c r="C1387" s="429"/>
      <c r="D1387" s="429"/>
      <c r="E1387" s="253"/>
      <c r="F1387" s="410"/>
      <c r="G1387" s="226"/>
      <c r="H1387" s="253"/>
      <c r="I1387" s="253"/>
      <c r="J1387" s="253"/>
      <c r="K1387" s="253"/>
      <c r="L1387" s="253"/>
      <c r="M1387" s="253"/>
      <c r="N1387" s="253"/>
      <c r="O1387" s="253"/>
      <c r="P1387" s="253"/>
      <c r="Q1387" s="253"/>
      <c r="R1387" s="253"/>
      <c r="S1387" s="253"/>
      <c r="EH1387" s="346"/>
    </row>
    <row r="1388" spans="1:138" s="345" customFormat="1" ht="22.5" customHeight="1" x14ac:dyDescent="0.2">
      <c r="A1388" s="108" t="s">
        <v>14</v>
      </c>
      <c r="B1388" s="397" t="s">
        <v>1618</v>
      </c>
      <c r="C1388" s="379" t="s">
        <v>1530</v>
      </c>
      <c r="D1388" s="389">
        <f>180.35*1.055</f>
        <v>190.27</v>
      </c>
      <c r="E1388" s="253"/>
      <c r="F1388" s="410"/>
      <c r="G1388" s="226"/>
      <c r="H1388" s="253"/>
      <c r="I1388" s="253"/>
      <c r="J1388" s="253"/>
      <c r="K1388" s="253"/>
      <c r="L1388" s="253"/>
      <c r="M1388" s="253"/>
      <c r="N1388" s="253"/>
      <c r="O1388" s="253"/>
      <c r="P1388" s="253"/>
      <c r="Q1388" s="253"/>
      <c r="R1388" s="253"/>
      <c r="S1388" s="253"/>
      <c r="EH1388" s="346"/>
    </row>
    <row r="1389" spans="1:138" s="345" customFormat="1" ht="25.5" customHeight="1" x14ac:dyDescent="0.2">
      <c r="A1389" s="108" t="s">
        <v>26</v>
      </c>
      <c r="B1389" s="430" t="s">
        <v>1619</v>
      </c>
      <c r="C1389" s="430"/>
      <c r="D1389" s="430"/>
      <c r="E1389" s="253"/>
      <c r="F1389" s="410"/>
      <c r="G1389" s="226"/>
      <c r="H1389" s="253"/>
      <c r="I1389" s="253"/>
      <c r="J1389" s="253"/>
      <c r="K1389" s="253"/>
      <c r="L1389" s="253"/>
      <c r="M1389" s="253"/>
      <c r="N1389" s="253"/>
      <c r="O1389" s="253"/>
      <c r="P1389" s="253"/>
      <c r="Q1389" s="253"/>
      <c r="R1389" s="253"/>
      <c r="S1389" s="253"/>
      <c r="EH1389" s="346"/>
    </row>
    <row r="1390" spans="1:138" s="345" customFormat="1" ht="34.5" customHeight="1" x14ac:dyDescent="0.2">
      <c r="A1390" s="404" t="s">
        <v>563</v>
      </c>
      <c r="B1390" s="179" t="s">
        <v>1620</v>
      </c>
      <c r="C1390" s="379" t="s">
        <v>1621</v>
      </c>
      <c r="D1390" s="389">
        <f>4.2*1.055</f>
        <v>4.43</v>
      </c>
      <c r="E1390" s="253"/>
      <c r="F1390" s="410"/>
      <c r="G1390" s="226"/>
      <c r="H1390" s="253"/>
      <c r="I1390" s="253"/>
      <c r="J1390" s="253"/>
      <c r="K1390" s="253"/>
      <c r="L1390" s="253"/>
      <c r="M1390" s="253"/>
      <c r="N1390" s="253"/>
      <c r="O1390" s="253"/>
      <c r="P1390" s="253"/>
      <c r="Q1390" s="253"/>
      <c r="R1390" s="253"/>
      <c r="S1390" s="253"/>
      <c r="EH1390" s="346"/>
    </row>
    <row r="1391" spans="1:138" s="345" customFormat="1" ht="33" customHeight="1" x14ac:dyDescent="0.2">
      <c r="A1391" s="404" t="s">
        <v>565</v>
      </c>
      <c r="B1391" s="179" t="s">
        <v>1622</v>
      </c>
      <c r="C1391" s="379" t="s">
        <v>1623</v>
      </c>
      <c r="D1391" s="389">
        <f>4.23*1.04*1.055</f>
        <v>4.6399999999999997</v>
      </c>
      <c r="E1391" s="253"/>
      <c r="F1391" s="410"/>
      <c r="G1391" s="226"/>
      <c r="H1391" s="253"/>
      <c r="I1391" s="253"/>
      <c r="J1391" s="253"/>
      <c r="K1391" s="253"/>
      <c r="L1391" s="253"/>
      <c r="M1391" s="253"/>
      <c r="N1391" s="253"/>
      <c r="O1391" s="253"/>
      <c r="P1391" s="253"/>
      <c r="Q1391" s="253"/>
      <c r="R1391" s="253"/>
      <c r="S1391" s="253"/>
      <c r="EH1391" s="346"/>
    </row>
    <row r="1392" spans="1:138" s="345" customFormat="1" ht="33" customHeight="1" x14ac:dyDescent="0.2">
      <c r="A1392" s="108" t="s">
        <v>567</v>
      </c>
      <c r="B1392" s="179" t="s">
        <v>1624</v>
      </c>
      <c r="C1392" s="379" t="s">
        <v>1621</v>
      </c>
      <c r="D1392" s="389">
        <f>3.42*1.055</f>
        <v>3.61</v>
      </c>
      <c r="E1392" s="253"/>
      <c r="F1392" s="410"/>
      <c r="G1392" s="226"/>
      <c r="H1392" s="253"/>
      <c r="I1392" s="253"/>
      <c r="J1392" s="253"/>
      <c r="K1392" s="253"/>
      <c r="L1392" s="253"/>
      <c r="M1392" s="253"/>
      <c r="N1392" s="253"/>
      <c r="O1392" s="253"/>
      <c r="P1392" s="253"/>
      <c r="Q1392" s="253"/>
      <c r="R1392" s="253"/>
      <c r="S1392" s="253"/>
      <c r="EH1392" s="346"/>
    </row>
    <row r="1393" spans="1:138" s="345" customFormat="1" ht="27" customHeight="1" x14ac:dyDescent="0.2">
      <c r="A1393" s="108" t="s">
        <v>29</v>
      </c>
      <c r="B1393" s="430" t="s">
        <v>1625</v>
      </c>
      <c r="C1393" s="430"/>
      <c r="D1393" s="430"/>
      <c r="E1393" s="253"/>
      <c r="F1393" s="410"/>
      <c r="G1393" s="226"/>
      <c r="H1393" s="253"/>
      <c r="I1393" s="253"/>
      <c r="J1393" s="253"/>
      <c r="K1393" s="253"/>
      <c r="L1393" s="253"/>
      <c r="M1393" s="253"/>
      <c r="N1393" s="253"/>
      <c r="O1393" s="253"/>
      <c r="P1393" s="253"/>
      <c r="Q1393" s="253"/>
      <c r="R1393" s="253"/>
      <c r="S1393" s="253"/>
      <c r="EH1393" s="346"/>
    </row>
    <row r="1394" spans="1:138" s="345" customFormat="1" ht="20.25" customHeight="1" x14ac:dyDescent="0.2">
      <c r="A1394" s="404" t="s">
        <v>578</v>
      </c>
      <c r="B1394" s="179" t="s">
        <v>1628</v>
      </c>
      <c r="C1394" s="379" t="s">
        <v>1627</v>
      </c>
      <c r="D1394" s="389">
        <f>122.93*1.055</f>
        <v>129.69</v>
      </c>
      <c r="E1394" s="253"/>
      <c r="F1394" s="410"/>
      <c r="G1394" s="226"/>
      <c r="H1394" s="253"/>
      <c r="I1394" s="253"/>
      <c r="J1394" s="253"/>
      <c r="K1394" s="253"/>
      <c r="L1394" s="253"/>
      <c r="M1394" s="253"/>
      <c r="N1394" s="253"/>
      <c r="O1394" s="253"/>
      <c r="P1394" s="253"/>
      <c r="Q1394" s="253"/>
      <c r="R1394" s="253"/>
      <c r="S1394" s="253"/>
      <c r="EH1394" s="346"/>
    </row>
    <row r="1395" spans="1:138" s="345" customFormat="1" ht="53.25" customHeight="1" x14ac:dyDescent="0.2">
      <c r="A1395" s="404" t="s">
        <v>580</v>
      </c>
      <c r="B1395" s="381" t="s">
        <v>1630</v>
      </c>
      <c r="C1395" s="379" t="s">
        <v>1172</v>
      </c>
      <c r="D1395" s="389">
        <f>677.17*1.055</f>
        <v>714.41</v>
      </c>
      <c r="E1395" s="253"/>
      <c r="F1395" s="410"/>
      <c r="G1395" s="226"/>
      <c r="H1395" s="253"/>
      <c r="I1395" s="253"/>
      <c r="J1395" s="253"/>
      <c r="K1395" s="253"/>
      <c r="L1395" s="253"/>
      <c r="M1395" s="253"/>
      <c r="N1395" s="253"/>
      <c r="O1395" s="253"/>
      <c r="P1395" s="253"/>
      <c r="Q1395" s="253"/>
      <c r="R1395" s="253"/>
      <c r="S1395" s="253"/>
      <c r="EH1395" s="346"/>
    </row>
    <row r="1396" spans="1:138" s="345" customFormat="1" ht="21.75" customHeight="1" x14ac:dyDescent="0.2">
      <c r="A1396" s="108" t="s">
        <v>31</v>
      </c>
      <c r="B1396" s="430" t="s">
        <v>1631</v>
      </c>
      <c r="C1396" s="430"/>
      <c r="D1396" s="430"/>
      <c r="E1396" s="253"/>
      <c r="F1396" s="410"/>
      <c r="G1396" s="226"/>
      <c r="H1396" s="253"/>
      <c r="I1396" s="253"/>
      <c r="J1396" s="253"/>
      <c r="K1396" s="253"/>
      <c r="L1396" s="253"/>
      <c r="M1396" s="253"/>
      <c r="N1396" s="253"/>
      <c r="O1396" s="253"/>
      <c r="P1396" s="253"/>
      <c r="Q1396" s="253"/>
      <c r="R1396" s="253"/>
      <c r="S1396" s="253"/>
      <c r="EH1396" s="346"/>
    </row>
    <row r="1397" spans="1:138" s="345" customFormat="1" ht="57" customHeight="1" x14ac:dyDescent="0.2">
      <c r="A1397" s="108" t="s">
        <v>627</v>
      </c>
      <c r="B1397" s="381" t="s">
        <v>1632</v>
      </c>
      <c r="C1397" s="379" t="s">
        <v>1633</v>
      </c>
      <c r="D1397" s="389">
        <f>242.88*1.055</f>
        <v>256.24</v>
      </c>
      <c r="E1397" s="253"/>
      <c r="F1397" s="410"/>
      <c r="G1397" s="226"/>
      <c r="H1397" s="253"/>
      <c r="I1397" s="253"/>
      <c r="J1397" s="253"/>
      <c r="K1397" s="253"/>
      <c r="L1397" s="253"/>
      <c r="M1397" s="253"/>
      <c r="N1397" s="253"/>
      <c r="O1397" s="253"/>
      <c r="P1397" s="253"/>
      <c r="Q1397" s="253"/>
      <c r="R1397" s="253"/>
      <c r="S1397" s="253"/>
      <c r="EH1397" s="346"/>
    </row>
    <row r="1398" spans="1:138" s="345" customFormat="1" ht="67.5" customHeight="1" x14ac:dyDescent="0.2">
      <c r="A1398" s="108" t="s">
        <v>628</v>
      </c>
      <c r="B1398" s="381" t="s">
        <v>1635</v>
      </c>
      <c r="C1398" s="379" t="s">
        <v>1633</v>
      </c>
      <c r="D1398" s="389">
        <f>323.82*1.055</f>
        <v>341.63</v>
      </c>
      <c r="E1398" s="253"/>
      <c r="F1398" s="410"/>
      <c r="G1398" s="226"/>
      <c r="H1398" s="253"/>
      <c r="I1398" s="253"/>
      <c r="J1398" s="253"/>
      <c r="K1398" s="253"/>
      <c r="L1398" s="253"/>
      <c r="M1398" s="253"/>
      <c r="N1398" s="253"/>
      <c r="O1398" s="253"/>
      <c r="P1398" s="253"/>
      <c r="Q1398" s="253"/>
      <c r="R1398" s="253"/>
      <c r="S1398" s="253"/>
      <c r="EH1398" s="346"/>
    </row>
    <row r="1399" spans="1:138" s="345" customFormat="1" ht="55.5" customHeight="1" x14ac:dyDescent="0.2">
      <c r="A1399" s="108" t="s">
        <v>629</v>
      </c>
      <c r="B1399" s="381" t="s">
        <v>1636</v>
      </c>
      <c r="C1399" s="379" t="s">
        <v>1633</v>
      </c>
      <c r="D1399" s="389">
        <f>357.51*1.055</f>
        <v>377.17</v>
      </c>
      <c r="E1399" s="253"/>
      <c r="F1399" s="410"/>
      <c r="G1399" s="226"/>
      <c r="H1399" s="253"/>
      <c r="I1399" s="253"/>
      <c r="J1399" s="253"/>
      <c r="K1399" s="253"/>
      <c r="L1399" s="253"/>
      <c r="M1399" s="253"/>
      <c r="N1399" s="253"/>
      <c r="O1399" s="253"/>
      <c r="P1399" s="253"/>
      <c r="Q1399" s="253"/>
      <c r="R1399" s="253"/>
      <c r="S1399" s="253"/>
      <c r="EH1399" s="346"/>
    </row>
    <row r="1400" spans="1:138" s="345" customFormat="1" ht="39.75" customHeight="1" x14ac:dyDescent="0.2">
      <c r="A1400" s="108" t="s">
        <v>33</v>
      </c>
      <c r="B1400" s="381" t="s">
        <v>1637</v>
      </c>
      <c r="C1400" s="122" t="s">
        <v>228</v>
      </c>
      <c r="D1400" s="389">
        <v>1107.05</v>
      </c>
      <c r="E1400" s="253"/>
      <c r="F1400" s="410"/>
      <c r="G1400" s="226"/>
      <c r="H1400" s="253"/>
      <c r="I1400" s="253"/>
      <c r="J1400" s="253"/>
      <c r="K1400" s="253"/>
      <c r="L1400" s="253"/>
      <c r="M1400" s="253"/>
      <c r="N1400" s="253"/>
      <c r="O1400" s="253"/>
      <c r="P1400" s="253"/>
      <c r="Q1400" s="253"/>
      <c r="R1400" s="253"/>
      <c r="S1400" s="253"/>
      <c r="EH1400" s="346"/>
    </row>
    <row r="1401" spans="1:138" s="345" customFormat="1" ht="44.25" customHeight="1" x14ac:dyDescent="0.2">
      <c r="A1401" s="429" t="s">
        <v>1847</v>
      </c>
      <c r="B1401" s="429"/>
      <c r="C1401" s="429"/>
      <c r="D1401" s="429"/>
      <c r="E1401" s="253"/>
      <c r="F1401" s="410"/>
      <c r="G1401" s="226"/>
      <c r="H1401" s="253"/>
      <c r="I1401" s="253"/>
      <c r="J1401" s="253"/>
      <c r="K1401" s="253"/>
      <c r="L1401" s="253"/>
      <c r="M1401" s="253"/>
      <c r="N1401" s="253"/>
      <c r="O1401" s="253"/>
      <c r="P1401" s="253"/>
      <c r="Q1401" s="253"/>
      <c r="R1401" s="253"/>
      <c r="S1401" s="253"/>
      <c r="EH1401" s="346"/>
    </row>
    <row r="1402" spans="1:138" s="345" customFormat="1" ht="63" customHeight="1" x14ac:dyDescent="0.2">
      <c r="A1402" s="108" t="s">
        <v>14</v>
      </c>
      <c r="B1402" s="509" t="s">
        <v>1639</v>
      </c>
      <c r="C1402" s="509"/>
      <c r="D1402" s="509"/>
      <c r="E1402" s="253"/>
      <c r="F1402" s="410"/>
      <c r="G1402" s="226"/>
      <c r="H1402" s="253"/>
      <c r="I1402" s="253"/>
      <c r="J1402" s="253"/>
      <c r="K1402" s="253"/>
      <c r="L1402" s="253"/>
      <c r="M1402" s="253"/>
      <c r="N1402" s="253"/>
      <c r="O1402" s="253"/>
      <c r="P1402" s="253"/>
      <c r="Q1402" s="253"/>
      <c r="R1402" s="253"/>
      <c r="S1402" s="253"/>
      <c r="EH1402" s="346"/>
    </row>
    <row r="1403" spans="1:138" s="345" customFormat="1" ht="42" customHeight="1" x14ac:dyDescent="0.2">
      <c r="A1403" s="404" t="s">
        <v>200</v>
      </c>
      <c r="B1403" s="435" t="s">
        <v>1640</v>
      </c>
      <c r="C1403" s="435"/>
      <c r="D1403" s="435"/>
      <c r="E1403" s="253"/>
      <c r="F1403" s="410"/>
      <c r="G1403" s="226"/>
      <c r="H1403" s="253"/>
      <c r="I1403" s="253"/>
      <c r="J1403" s="253"/>
      <c r="K1403" s="253"/>
      <c r="L1403" s="253"/>
      <c r="M1403" s="253"/>
      <c r="N1403" s="253"/>
      <c r="O1403" s="253"/>
      <c r="P1403" s="253"/>
      <c r="Q1403" s="253"/>
      <c r="R1403" s="253"/>
      <c r="S1403" s="253"/>
      <c r="EH1403" s="346"/>
    </row>
    <row r="1404" spans="1:138" s="345" customFormat="1" ht="15.75" x14ac:dyDescent="0.2">
      <c r="A1404" s="108" t="s">
        <v>1339</v>
      </c>
      <c r="B1404" s="381" t="s">
        <v>1642</v>
      </c>
      <c r="C1404" s="379" t="s">
        <v>1627</v>
      </c>
      <c r="D1404" s="389">
        <f>57.02*1.055</f>
        <v>60.16</v>
      </c>
      <c r="E1404" s="253"/>
      <c r="F1404" s="410"/>
      <c r="G1404" s="226"/>
      <c r="H1404" s="253"/>
      <c r="I1404" s="253"/>
      <c r="J1404" s="253"/>
      <c r="K1404" s="253"/>
      <c r="L1404" s="253"/>
      <c r="M1404" s="253"/>
      <c r="N1404" s="253"/>
      <c r="O1404" s="253"/>
      <c r="P1404" s="253"/>
      <c r="Q1404" s="253"/>
      <c r="R1404" s="253"/>
      <c r="S1404" s="253"/>
      <c r="EH1404" s="346"/>
    </row>
    <row r="1405" spans="1:138" s="345" customFormat="1" ht="15.75" x14ac:dyDescent="0.2">
      <c r="A1405" s="108" t="s">
        <v>1341</v>
      </c>
      <c r="B1405" s="434" t="s">
        <v>1643</v>
      </c>
      <c r="C1405" s="434"/>
      <c r="D1405" s="434"/>
      <c r="E1405" s="253"/>
      <c r="F1405" s="410"/>
      <c r="G1405" s="226"/>
      <c r="H1405" s="253"/>
      <c r="I1405" s="253"/>
      <c r="J1405" s="253"/>
      <c r="K1405" s="253"/>
      <c r="L1405" s="253"/>
      <c r="M1405" s="253"/>
      <c r="N1405" s="253"/>
      <c r="O1405" s="253"/>
      <c r="P1405" s="253"/>
      <c r="Q1405" s="253"/>
      <c r="R1405" s="253"/>
      <c r="S1405" s="253"/>
      <c r="EH1405" s="346"/>
    </row>
    <row r="1406" spans="1:138" s="345" customFormat="1" ht="47.25" x14ac:dyDescent="0.2">
      <c r="A1406" s="108" t="s">
        <v>204</v>
      </c>
      <c r="B1406" s="392" t="s">
        <v>1648</v>
      </c>
      <c r="C1406" s="379" t="s">
        <v>1627</v>
      </c>
      <c r="D1406" s="389">
        <f>231.48*1.055</f>
        <v>244.21</v>
      </c>
      <c r="E1406" s="253"/>
      <c r="F1406" s="410"/>
      <c r="G1406" s="226"/>
      <c r="H1406" s="253"/>
      <c r="I1406" s="253"/>
      <c r="J1406" s="253"/>
      <c r="K1406" s="253"/>
      <c r="L1406" s="253"/>
      <c r="M1406" s="253"/>
      <c r="N1406" s="253"/>
      <c r="O1406" s="253"/>
      <c r="P1406" s="253"/>
      <c r="Q1406" s="253"/>
      <c r="R1406" s="253"/>
      <c r="S1406" s="253"/>
      <c r="EH1406" s="346"/>
    </row>
    <row r="1407" spans="1:138" s="345" customFormat="1" ht="35.25" customHeight="1" x14ac:dyDescent="0.2">
      <c r="A1407" s="108" t="s">
        <v>521</v>
      </c>
      <c r="B1407" s="392" t="s">
        <v>1649</v>
      </c>
      <c r="C1407" s="379" t="s">
        <v>1627</v>
      </c>
      <c r="D1407" s="389">
        <f>349.09*1.055</f>
        <v>368.29</v>
      </c>
      <c r="E1407" s="253"/>
      <c r="F1407" s="410"/>
      <c r="G1407" s="226"/>
      <c r="H1407" s="253"/>
      <c r="I1407" s="253"/>
      <c r="J1407" s="253"/>
      <c r="K1407" s="253"/>
      <c r="L1407" s="253"/>
      <c r="M1407" s="253"/>
      <c r="N1407" s="253"/>
      <c r="O1407" s="253"/>
      <c r="P1407" s="253"/>
      <c r="Q1407" s="253"/>
      <c r="R1407" s="253"/>
      <c r="S1407" s="253"/>
      <c r="EH1407" s="346"/>
    </row>
    <row r="1408" spans="1:138" s="345" customFormat="1" ht="36" customHeight="1" x14ac:dyDescent="0.2">
      <c r="A1408" s="108" t="s">
        <v>523</v>
      </c>
      <c r="B1408" s="392" t="s">
        <v>1650</v>
      </c>
      <c r="C1408" s="379" t="s">
        <v>1627</v>
      </c>
      <c r="D1408" s="389">
        <f>231.48*1.055</f>
        <v>244.21</v>
      </c>
      <c r="E1408" s="253"/>
      <c r="F1408" s="410"/>
      <c r="G1408" s="226"/>
      <c r="H1408" s="253"/>
      <c r="I1408" s="253"/>
      <c r="J1408" s="253"/>
      <c r="K1408" s="253"/>
      <c r="L1408" s="253"/>
      <c r="M1408" s="253"/>
      <c r="N1408" s="253"/>
      <c r="O1408" s="253"/>
      <c r="P1408" s="253"/>
      <c r="Q1408" s="253"/>
      <c r="R1408" s="253"/>
      <c r="S1408" s="253"/>
      <c r="EH1408" s="346"/>
    </row>
    <row r="1409" spans="1:138" s="345" customFormat="1" ht="25.5" customHeight="1" x14ac:dyDescent="0.2">
      <c r="A1409" s="108" t="s">
        <v>525</v>
      </c>
      <c r="B1409" s="392" t="s">
        <v>1651</v>
      </c>
      <c r="C1409" s="379" t="s">
        <v>1627</v>
      </c>
      <c r="D1409" s="389">
        <f>558.53*1.055</f>
        <v>589.25</v>
      </c>
      <c r="E1409" s="253"/>
      <c r="F1409" s="410"/>
      <c r="G1409" s="226"/>
      <c r="H1409" s="253"/>
      <c r="I1409" s="253"/>
      <c r="J1409" s="253"/>
      <c r="K1409" s="253"/>
      <c r="L1409" s="253"/>
      <c r="M1409" s="253"/>
      <c r="N1409" s="253"/>
      <c r="O1409" s="253"/>
      <c r="P1409" s="253"/>
      <c r="Q1409" s="253"/>
      <c r="R1409" s="253"/>
      <c r="S1409" s="253"/>
      <c r="EH1409" s="346"/>
    </row>
    <row r="1410" spans="1:138" s="345" customFormat="1" ht="20.25" customHeight="1" x14ac:dyDescent="0.2">
      <c r="A1410" s="108" t="s">
        <v>196</v>
      </c>
      <c r="B1410" s="431" t="s">
        <v>1653</v>
      </c>
      <c r="C1410" s="431"/>
      <c r="D1410" s="431"/>
      <c r="E1410" s="253"/>
      <c r="F1410" s="410"/>
      <c r="G1410" s="226"/>
      <c r="H1410" s="253"/>
      <c r="I1410" s="253"/>
      <c r="J1410" s="253"/>
      <c r="K1410" s="253"/>
      <c r="L1410" s="253"/>
      <c r="M1410" s="253"/>
      <c r="N1410" s="253"/>
      <c r="O1410" s="253"/>
      <c r="P1410" s="253"/>
      <c r="Q1410" s="253"/>
      <c r="R1410" s="253"/>
      <c r="S1410" s="253"/>
      <c r="EH1410" s="346"/>
    </row>
    <row r="1411" spans="1:138" s="345" customFormat="1" ht="21.75" customHeight="1" x14ac:dyDescent="0.2">
      <c r="A1411" s="404" t="s">
        <v>563</v>
      </c>
      <c r="B1411" s="179" t="s">
        <v>1654</v>
      </c>
      <c r="C1411" s="379" t="s">
        <v>1627</v>
      </c>
      <c r="D1411" s="389">
        <f>220.3</f>
        <v>220.3</v>
      </c>
      <c r="E1411" s="253"/>
      <c r="F1411" s="410"/>
      <c r="G1411" s="226"/>
      <c r="H1411" s="253"/>
      <c r="I1411" s="253"/>
      <c r="J1411" s="253"/>
      <c r="K1411" s="253"/>
      <c r="L1411" s="253"/>
      <c r="M1411" s="253"/>
      <c r="N1411" s="253"/>
      <c r="O1411" s="253"/>
      <c r="P1411" s="253"/>
      <c r="Q1411" s="253"/>
      <c r="R1411" s="253"/>
      <c r="S1411" s="253"/>
      <c r="EH1411" s="346"/>
    </row>
    <row r="1412" spans="1:138" s="345" customFormat="1" ht="45" customHeight="1" x14ac:dyDescent="0.2">
      <c r="A1412" s="108" t="s">
        <v>29</v>
      </c>
      <c r="B1412" s="495" t="s">
        <v>1657</v>
      </c>
      <c r="C1412" s="495"/>
      <c r="D1412" s="495"/>
      <c r="E1412" s="253"/>
      <c r="F1412" s="410"/>
      <c r="G1412" s="226"/>
      <c r="H1412" s="253"/>
      <c r="I1412" s="253"/>
      <c r="J1412" s="253"/>
      <c r="K1412" s="253"/>
      <c r="L1412" s="253"/>
      <c r="M1412" s="253"/>
      <c r="N1412" s="253"/>
      <c r="O1412" s="253"/>
      <c r="P1412" s="253"/>
      <c r="Q1412" s="253"/>
      <c r="R1412" s="253"/>
      <c r="S1412" s="253"/>
      <c r="EH1412" s="346"/>
    </row>
    <row r="1413" spans="1:138" s="345" customFormat="1" ht="77.25" customHeight="1" x14ac:dyDescent="0.2">
      <c r="A1413" s="108" t="s">
        <v>578</v>
      </c>
      <c r="B1413" s="397" t="s">
        <v>2270</v>
      </c>
      <c r="C1413" s="379" t="s">
        <v>236</v>
      </c>
      <c r="D1413" s="389">
        <v>1955.95</v>
      </c>
      <c r="E1413" s="253"/>
      <c r="F1413" s="410"/>
      <c r="G1413" s="226"/>
      <c r="H1413" s="253"/>
      <c r="I1413" s="253"/>
      <c r="J1413" s="253"/>
      <c r="K1413" s="253"/>
      <c r="L1413" s="253"/>
      <c r="M1413" s="253"/>
      <c r="N1413" s="253"/>
      <c r="O1413" s="253"/>
      <c r="P1413" s="253"/>
      <c r="Q1413" s="253"/>
      <c r="R1413" s="253"/>
      <c r="S1413" s="253"/>
      <c r="EH1413" s="346"/>
    </row>
    <row r="1414" spans="1:138" s="345" customFormat="1" ht="81.75" customHeight="1" x14ac:dyDescent="0.2">
      <c r="A1414" s="108" t="s">
        <v>580</v>
      </c>
      <c r="B1414" s="397" t="s">
        <v>2271</v>
      </c>
      <c r="C1414" s="379" t="s">
        <v>236</v>
      </c>
      <c r="D1414" s="389">
        <v>1390.77</v>
      </c>
      <c r="E1414" s="253"/>
      <c r="F1414" s="410"/>
      <c r="G1414" s="226"/>
      <c r="H1414" s="253"/>
      <c r="I1414" s="253"/>
      <c r="J1414" s="253"/>
      <c r="K1414" s="253"/>
      <c r="L1414" s="253"/>
      <c r="M1414" s="253"/>
      <c r="N1414" s="253"/>
      <c r="O1414" s="253"/>
      <c r="P1414" s="253"/>
      <c r="Q1414" s="253"/>
      <c r="R1414" s="253"/>
      <c r="S1414" s="253"/>
      <c r="EH1414" s="346"/>
    </row>
    <row r="1415" spans="1:138" s="345" customFormat="1" ht="79.5" customHeight="1" x14ac:dyDescent="0.2">
      <c r="A1415" s="108" t="s">
        <v>582</v>
      </c>
      <c r="B1415" s="397" t="s">
        <v>2272</v>
      </c>
      <c r="C1415" s="379" t="s">
        <v>236</v>
      </c>
      <c r="D1415" s="389">
        <v>1961.15</v>
      </c>
      <c r="E1415" s="253"/>
      <c r="F1415" s="410"/>
      <c r="G1415" s="226"/>
      <c r="H1415" s="253"/>
      <c r="I1415" s="253"/>
      <c r="J1415" s="253"/>
      <c r="K1415" s="253"/>
      <c r="L1415" s="253"/>
      <c r="M1415" s="253"/>
      <c r="N1415" s="253"/>
      <c r="O1415" s="253"/>
      <c r="P1415" s="253"/>
      <c r="Q1415" s="253"/>
      <c r="R1415" s="253"/>
      <c r="S1415" s="253"/>
      <c r="EH1415" s="346"/>
    </row>
    <row r="1416" spans="1:138" s="345" customFormat="1" ht="83.25" customHeight="1" x14ac:dyDescent="0.2">
      <c r="A1416" s="108" t="s">
        <v>584</v>
      </c>
      <c r="B1416" s="397" t="s">
        <v>2273</v>
      </c>
      <c r="C1416" s="379" t="s">
        <v>236</v>
      </c>
      <c r="D1416" s="389">
        <v>1510.77</v>
      </c>
      <c r="E1416" s="253"/>
      <c r="F1416" s="410"/>
      <c r="G1416" s="226"/>
      <c r="H1416" s="253"/>
      <c r="I1416" s="253"/>
      <c r="J1416" s="253"/>
      <c r="K1416" s="253"/>
      <c r="L1416" s="253"/>
      <c r="M1416" s="253"/>
      <c r="N1416" s="253"/>
      <c r="O1416" s="253"/>
      <c r="P1416" s="253"/>
      <c r="Q1416" s="253"/>
      <c r="R1416" s="253"/>
      <c r="S1416" s="253"/>
      <c r="EH1416" s="346"/>
    </row>
    <row r="1417" spans="1:138" s="345" customFormat="1" ht="81.75" customHeight="1" x14ac:dyDescent="0.2">
      <c r="A1417" s="108" t="s">
        <v>586</v>
      </c>
      <c r="B1417" s="397" t="s">
        <v>2274</v>
      </c>
      <c r="C1417" s="379" t="s">
        <v>236</v>
      </c>
      <c r="D1417" s="389">
        <v>1955.95</v>
      </c>
      <c r="E1417" s="253"/>
      <c r="F1417" s="410"/>
      <c r="G1417" s="226"/>
      <c r="H1417" s="253"/>
      <c r="I1417" s="253"/>
      <c r="J1417" s="253"/>
      <c r="K1417" s="253"/>
      <c r="L1417" s="253"/>
      <c r="M1417" s="253"/>
      <c r="N1417" s="253"/>
      <c r="O1417" s="253"/>
      <c r="P1417" s="253"/>
      <c r="Q1417" s="253"/>
      <c r="R1417" s="253"/>
      <c r="S1417" s="253"/>
      <c r="EH1417" s="346"/>
    </row>
    <row r="1418" spans="1:138" s="345" customFormat="1" ht="84" customHeight="1" x14ac:dyDescent="0.2">
      <c r="A1418" s="108" t="s">
        <v>588</v>
      </c>
      <c r="B1418" s="397" t="s">
        <v>2275</v>
      </c>
      <c r="C1418" s="379" t="s">
        <v>236</v>
      </c>
      <c r="D1418" s="389">
        <v>1390.77</v>
      </c>
      <c r="E1418" s="253"/>
      <c r="F1418" s="410"/>
      <c r="G1418" s="226"/>
      <c r="H1418" s="253"/>
      <c r="I1418" s="253"/>
      <c r="J1418" s="253"/>
      <c r="K1418" s="253"/>
      <c r="L1418" s="253"/>
      <c r="M1418" s="253"/>
      <c r="N1418" s="253"/>
      <c r="O1418" s="253"/>
      <c r="P1418" s="253"/>
      <c r="Q1418" s="253"/>
      <c r="R1418" s="253"/>
      <c r="S1418" s="253"/>
      <c r="EH1418" s="346"/>
    </row>
    <row r="1419" spans="1:138" s="345" customFormat="1" ht="25.5" customHeight="1" x14ac:dyDescent="0.2">
      <c r="A1419" s="108" t="s">
        <v>31</v>
      </c>
      <c r="B1419" s="431" t="s">
        <v>1658</v>
      </c>
      <c r="C1419" s="431"/>
      <c r="D1419" s="431"/>
      <c r="E1419" s="253"/>
      <c r="F1419" s="410"/>
      <c r="G1419" s="226"/>
      <c r="H1419" s="253"/>
      <c r="I1419" s="253"/>
      <c r="J1419" s="253"/>
      <c r="K1419" s="253"/>
      <c r="L1419" s="253"/>
      <c r="M1419" s="253"/>
      <c r="N1419" s="253"/>
      <c r="O1419" s="253"/>
      <c r="P1419" s="253"/>
      <c r="Q1419" s="253"/>
      <c r="R1419" s="253"/>
      <c r="S1419" s="253"/>
      <c r="EH1419" s="346"/>
    </row>
    <row r="1420" spans="1:138" s="345" customFormat="1" ht="34.5" customHeight="1" x14ac:dyDescent="0.2">
      <c r="A1420" s="108" t="s">
        <v>627</v>
      </c>
      <c r="B1420" s="381" t="s">
        <v>1659</v>
      </c>
      <c r="C1420" s="379" t="s">
        <v>1627</v>
      </c>
      <c r="D1420" s="389">
        <f>122.87*1.055</f>
        <v>129.63</v>
      </c>
      <c r="E1420" s="253"/>
      <c r="F1420" s="410"/>
      <c r="G1420" s="226"/>
      <c r="H1420" s="253"/>
      <c r="I1420" s="253"/>
      <c r="J1420" s="253"/>
      <c r="K1420" s="253"/>
      <c r="L1420" s="253"/>
      <c r="M1420" s="253"/>
      <c r="N1420" s="253"/>
      <c r="O1420" s="253"/>
      <c r="P1420" s="253"/>
      <c r="Q1420" s="253"/>
      <c r="R1420" s="253"/>
      <c r="S1420" s="253"/>
      <c r="EH1420" s="346"/>
    </row>
    <row r="1421" spans="1:138" s="345" customFormat="1" ht="27" customHeight="1" x14ac:dyDescent="0.2">
      <c r="A1421" s="108" t="s">
        <v>33</v>
      </c>
      <c r="B1421" s="431" t="s">
        <v>1660</v>
      </c>
      <c r="C1421" s="431"/>
      <c r="D1421" s="431"/>
      <c r="E1421" s="253"/>
      <c r="F1421" s="410"/>
      <c r="G1421" s="226"/>
      <c r="H1421" s="253"/>
      <c r="I1421" s="253"/>
      <c r="J1421" s="253"/>
      <c r="K1421" s="253"/>
      <c r="L1421" s="253"/>
      <c r="M1421" s="253"/>
      <c r="N1421" s="253"/>
      <c r="O1421" s="253"/>
      <c r="P1421" s="253"/>
      <c r="Q1421" s="253"/>
      <c r="R1421" s="253"/>
      <c r="S1421" s="253"/>
      <c r="EH1421" s="346"/>
    </row>
    <row r="1422" spans="1:138" s="345" customFormat="1" ht="23.25" customHeight="1" x14ac:dyDescent="0.2">
      <c r="A1422" s="108" t="s">
        <v>639</v>
      </c>
      <c r="B1422" s="381" t="s">
        <v>1661</v>
      </c>
      <c r="C1422" s="379" t="s">
        <v>1662</v>
      </c>
      <c r="D1422" s="389">
        <f>484.55*1.055</f>
        <v>511.2</v>
      </c>
      <c r="E1422" s="253"/>
      <c r="F1422" s="410"/>
      <c r="G1422" s="226"/>
      <c r="H1422" s="253"/>
      <c r="I1422" s="253"/>
      <c r="J1422" s="253"/>
      <c r="K1422" s="253"/>
      <c r="L1422" s="253"/>
      <c r="M1422" s="253"/>
      <c r="N1422" s="253"/>
      <c r="O1422" s="253"/>
      <c r="P1422" s="253"/>
      <c r="Q1422" s="253"/>
      <c r="R1422" s="253"/>
      <c r="S1422" s="253"/>
      <c r="EH1422" s="346"/>
    </row>
    <row r="1423" spans="1:138" s="345" customFormat="1" ht="36.75" customHeight="1" x14ac:dyDescent="0.2">
      <c r="A1423" s="108" t="s">
        <v>640</v>
      </c>
      <c r="B1423" s="381" t="s">
        <v>1663</v>
      </c>
      <c r="C1423" s="379" t="s">
        <v>1664</v>
      </c>
      <c r="D1423" s="389">
        <f>119.83*1.055</f>
        <v>126.42</v>
      </c>
      <c r="E1423" s="253"/>
      <c r="F1423" s="410"/>
      <c r="G1423" s="226"/>
      <c r="H1423" s="253"/>
      <c r="I1423" s="253"/>
      <c r="J1423" s="253"/>
      <c r="K1423" s="253"/>
      <c r="L1423" s="253"/>
      <c r="M1423" s="253"/>
      <c r="N1423" s="253"/>
      <c r="O1423" s="253"/>
      <c r="P1423" s="253"/>
      <c r="Q1423" s="253"/>
      <c r="R1423" s="253"/>
      <c r="S1423" s="253"/>
      <c r="EH1423" s="346"/>
    </row>
    <row r="1424" spans="1:138" s="345" customFormat="1" ht="35.25" customHeight="1" x14ac:dyDescent="0.2">
      <c r="A1424" s="108" t="s">
        <v>35</v>
      </c>
      <c r="B1424" s="381" t="s">
        <v>1665</v>
      </c>
      <c r="C1424" s="122" t="s">
        <v>1666</v>
      </c>
      <c r="D1424" s="389">
        <f>624.85*1.055</f>
        <v>659.22</v>
      </c>
      <c r="E1424" s="253"/>
      <c r="F1424" s="410"/>
      <c r="G1424" s="226"/>
      <c r="H1424" s="253"/>
      <c r="I1424" s="253"/>
      <c r="J1424" s="253"/>
      <c r="K1424" s="253"/>
      <c r="L1424" s="253"/>
      <c r="M1424" s="253"/>
      <c r="N1424" s="253"/>
      <c r="O1424" s="253"/>
      <c r="P1424" s="253"/>
      <c r="Q1424" s="253"/>
      <c r="R1424" s="253"/>
      <c r="S1424" s="253"/>
      <c r="EH1424" s="346"/>
    </row>
    <row r="1425" spans="1:138" s="345" customFormat="1" ht="33.75" customHeight="1" x14ac:dyDescent="0.2">
      <c r="A1425" s="108" t="s">
        <v>37</v>
      </c>
      <c r="B1425" s="381" t="s">
        <v>1667</v>
      </c>
      <c r="C1425" s="122" t="s">
        <v>1666</v>
      </c>
      <c r="D1425" s="389">
        <f>2398.34*1.055</f>
        <v>2530.25</v>
      </c>
      <c r="E1425" s="253"/>
      <c r="F1425" s="410"/>
      <c r="G1425" s="226"/>
      <c r="H1425" s="253"/>
      <c r="I1425" s="253"/>
      <c r="J1425" s="253"/>
      <c r="K1425" s="253"/>
      <c r="L1425" s="253"/>
      <c r="M1425" s="253"/>
      <c r="N1425" s="253"/>
      <c r="O1425" s="253"/>
      <c r="P1425" s="253"/>
      <c r="Q1425" s="253"/>
      <c r="R1425" s="253"/>
      <c r="S1425" s="253"/>
      <c r="EH1425" s="346"/>
    </row>
    <row r="1426" spans="1:138" s="345" customFormat="1" ht="34.5" customHeight="1" x14ac:dyDescent="0.2">
      <c r="A1426" s="108" t="s">
        <v>39</v>
      </c>
      <c r="B1426" s="381" t="s">
        <v>1668</v>
      </c>
      <c r="C1426" s="122" t="s">
        <v>1666</v>
      </c>
      <c r="D1426" s="389">
        <f>2538.36*1.055</f>
        <v>2677.97</v>
      </c>
      <c r="E1426" s="253"/>
      <c r="F1426" s="410"/>
      <c r="G1426" s="226"/>
      <c r="H1426" s="253"/>
      <c r="I1426" s="253"/>
      <c r="J1426" s="253"/>
      <c r="K1426" s="253"/>
      <c r="L1426" s="253"/>
      <c r="M1426" s="253"/>
      <c r="N1426" s="253"/>
      <c r="O1426" s="253"/>
      <c r="P1426" s="253"/>
      <c r="Q1426" s="253"/>
      <c r="R1426" s="253"/>
      <c r="S1426" s="253"/>
      <c r="EH1426" s="346"/>
    </row>
    <row r="1427" spans="1:138" s="345" customFormat="1" ht="34.5" customHeight="1" x14ac:dyDescent="0.2">
      <c r="A1427" s="108" t="s">
        <v>41</v>
      </c>
      <c r="B1427" s="381" t="s">
        <v>1669</v>
      </c>
      <c r="C1427" s="122" t="s">
        <v>1666</v>
      </c>
      <c r="D1427" s="389">
        <v>685.24</v>
      </c>
      <c r="E1427" s="253"/>
      <c r="F1427" s="410"/>
      <c r="G1427" s="226"/>
      <c r="H1427" s="253"/>
      <c r="I1427" s="253"/>
      <c r="J1427" s="253"/>
      <c r="K1427" s="253"/>
      <c r="L1427" s="253"/>
      <c r="M1427" s="253"/>
      <c r="N1427" s="253"/>
      <c r="O1427" s="253"/>
      <c r="P1427" s="253"/>
      <c r="Q1427" s="253"/>
      <c r="R1427" s="253"/>
      <c r="S1427" s="253"/>
      <c r="EH1427" s="346"/>
    </row>
    <row r="1428" spans="1:138" s="345" customFormat="1" ht="43.5" customHeight="1" x14ac:dyDescent="0.2">
      <c r="A1428" s="429" t="s">
        <v>1848</v>
      </c>
      <c r="B1428" s="429"/>
      <c r="C1428" s="429"/>
      <c r="D1428" s="429"/>
      <c r="E1428" s="253"/>
      <c r="F1428" s="410"/>
      <c r="G1428" s="226"/>
      <c r="H1428" s="253"/>
      <c r="I1428" s="253"/>
      <c r="J1428" s="253"/>
      <c r="K1428" s="253"/>
      <c r="L1428" s="253"/>
      <c r="M1428" s="253"/>
      <c r="N1428" s="253"/>
      <c r="O1428" s="253"/>
      <c r="P1428" s="253"/>
      <c r="Q1428" s="253"/>
      <c r="R1428" s="253"/>
      <c r="S1428" s="253"/>
      <c r="EH1428" s="346"/>
    </row>
    <row r="1429" spans="1:138" s="345" customFormat="1" ht="34.5" customHeight="1" x14ac:dyDescent="0.2">
      <c r="A1429" s="108" t="s">
        <v>14</v>
      </c>
      <c r="B1429" s="397" t="s">
        <v>1671</v>
      </c>
      <c r="C1429" s="379" t="s">
        <v>1627</v>
      </c>
      <c r="D1429" s="389">
        <f>251.18*1.055</f>
        <v>264.99</v>
      </c>
      <c r="E1429" s="253"/>
      <c r="F1429" s="410"/>
      <c r="G1429" s="226"/>
      <c r="H1429" s="253"/>
      <c r="I1429" s="253"/>
      <c r="J1429" s="253"/>
      <c r="K1429" s="253"/>
      <c r="L1429" s="253"/>
      <c r="M1429" s="253"/>
      <c r="N1429" s="253"/>
      <c r="O1429" s="253"/>
      <c r="P1429" s="253"/>
      <c r="Q1429" s="253"/>
      <c r="R1429" s="253"/>
      <c r="S1429" s="253"/>
      <c r="EH1429" s="346"/>
    </row>
    <row r="1430" spans="1:138" s="345" customFormat="1" ht="27" customHeight="1" x14ac:dyDescent="0.2">
      <c r="A1430" s="108" t="s">
        <v>26</v>
      </c>
      <c r="B1430" s="430" t="s">
        <v>1672</v>
      </c>
      <c r="C1430" s="430"/>
      <c r="D1430" s="430"/>
      <c r="E1430" s="253"/>
      <c r="F1430" s="410"/>
      <c r="G1430" s="226"/>
      <c r="H1430" s="253"/>
      <c r="I1430" s="253"/>
      <c r="J1430" s="253"/>
      <c r="K1430" s="253"/>
      <c r="L1430" s="253"/>
      <c r="M1430" s="253"/>
      <c r="N1430" s="253"/>
      <c r="O1430" s="253"/>
      <c r="P1430" s="253"/>
      <c r="Q1430" s="253"/>
      <c r="R1430" s="253"/>
      <c r="S1430" s="253"/>
      <c r="EH1430" s="346"/>
    </row>
    <row r="1431" spans="1:138" s="345" customFormat="1" ht="19.5" customHeight="1" x14ac:dyDescent="0.2">
      <c r="A1431" s="108" t="s">
        <v>563</v>
      </c>
      <c r="B1431" s="179" t="s">
        <v>1673</v>
      </c>
      <c r="C1431" s="379" t="s">
        <v>1627</v>
      </c>
      <c r="D1431" s="389">
        <f>136.07*1.055</f>
        <v>143.55000000000001</v>
      </c>
      <c r="E1431" s="253"/>
      <c r="F1431" s="410"/>
      <c r="G1431" s="226"/>
      <c r="H1431" s="253"/>
      <c r="I1431" s="253"/>
      <c r="J1431" s="253"/>
      <c r="K1431" s="253"/>
      <c r="L1431" s="253"/>
      <c r="M1431" s="253"/>
      <c r="N1431" s="253"/>
      <c r="O1431" s="253"/>
      <c r="P1431" s="253"/>
      <c r="Q1431" s="253"/>
      <c r="R1431" s="253"/>
      <c r="S1431" s="253"/>
      <c r="EH1431" s="346"/>
    </row>
    <row r="1432" spans="1:138" s="345" customFormat="1" ht="47.25" x14ac:dyDescent="0.2">
      <c r="A1432" s="108" t="s">
        <v>29</v>
      </c>
      <c r="B1432" s="397" t="s">
        <v>1681</v>
      </c>
      <c r="C1432" s="379" t="s">
        <v>1633</v>
      </c>
      <c r="D1432" s="389">
        <f>64.42*1.055</f>
        <v>67.959999999999994</v>
      </c>
      <c r="E1432" s="253"/>
      <c r="F1432" s="410"/>
      <c r="G1432" s="226"/>
      <c r="H1432" s="253"/>
      <c r="I1432" s="253"/>
      <c r="J1432" s="253"/>
      <c r="K1432" s="253"/>
      <c r="L1432" s="253"/>
      <c r="M1432" s="253"/>
      <c r="N1432" s="253"/>
      <c r="O1432" s="253"/>
      <c r="P1432" s="253"/>
      <c r="Q1432" s="253"/>
      <c r="R1432" s="253"/>
      <c r="S1432" s="253"/>
      <c r="EH1432" s="346"/>
    </row>
    <row r="1433" spans="1:138" s="345" customFormat="1" ht="49.5" customHeight="1" x14ac:dyDescent="0.2">
      <c r="A1433" s="108" t="s">
        <v>31</v>
      </c>
      <c r="B1433" s="397" t="s">
        <v>1682</v>
      </c>
      <c r="C1433" s="379" t="s">
        <v>1633</v>
      </c>
      <c r="D1433" s="389">
        <f>158.98*1.055</f>
        <v>167.72</v>
      </c>
      <c r="E1433" s="253"/>
      <c r="F1433" s="410"/>
      <c r="G1433" s="226"/>
      <c r="H1433" s="253"/>
      <c r="I1433" s="253"/>
      <c r="J1433" s="253"/>
      <c r="K1433" s="253"/>
      <c r="L1433" s="253"/>
      <c r="M1433" s="253"/>
      <c r="N1433" s="253"/>
      <c r="O1433" s="253"/>
      <c r="P1433" s="253"/>
      <c r="Q1433" s="253"/>
      <c r="R1433" s="253"/>
      <c r="S1433" s="253"/>
      <c r="EH1433" s="346"/>
    </row>
    <row r="1434" spans="1:138" s="345" customFormat="1" ht="55.5" x14ac:dyDescent="0.2">
      <c r="A1434" s="108" t="s">
        <v>33</v>
      </c>
      <c r="B1434" s="397" t="s">
        <v>1683</v>
      </c>
      <c r="C1434" s="379" t="s">
        <v>1633</v>
      </c>
      <c r="D1434" s="389">
        <f>488.21*1.055</f>
        <v>515.05999999999995</v>
      </c>
      <c r="E1434" s="253"/>
      <c r="F1434" s="410"/>
      <c r="G1434" s="226"/>
      <c r="H1434" s="253"/>
      <c r="I1434" s="253"/>
      <c r="J1434" s="253"/>
      <c r="K1434" s="253"/>
      <c r="L1434" s="253"/>
      <c r="M1434" s="253"/>
      <c r="N1434" s="253"/>
      <c r="O1434" s="253"/>
      <c r="P1434" s="253"/>
      <c r="Q1434" s="253"/>
      <c r="R1434" s="253"/>
      <c r="S1434" s="253"/>
      <c r="EH1434" s="346"/>
    </row>
    <row r="1435" spans="1:138" s="345" customFormat="1" ht="36" customHeight="1" x14ac:dyDescent="0.2">
      <c r="A1435" s="108" t="s">
        <v>37</v>
      </c>
      <c r="B1435" s="397" t="s">
        <v>1684</v>
      </c>
      <c r="C1435" s="379" t="s">
        <v>1633</v>
      </c>
      <c r="D1435" s="389">
        <f>103.59*1.04*1.055</f>
        <v>113.66</v>
      </c>
      <c r="E1435" s="253"/>
      <c r="F1435" s="410"/>
      <c r="G1435" s="226"/>
      <c r="H1435" s="253"/>
      <c r="I1435" s="253"/>
      <c r="J1435" s="253"/>
      <c r="K1435" s="253"/>
      <c r="L1435" s="253"/>
      <c r="M1435" s="253"/>
      <c r="N1435" s="253"/>
      <c r="O1435" s="253"/>
      <c r="P1435" s="253"/>
      <c r="Q1435" s="253"/>
      <c r="R1435" s="253"/>
      <c r="S1435" s="253"/>
      <c r="EH1435" s="346"/>
    </row>
    <row r="1436" spans="1:138" s="345" customFormat="1" ht="51.75" customHeight="1" x14ac:dyDescent="0.2">
      <c r="A1436" s="108" t="s">
        <v>35</v>
      </c>
      <c r="B1436" s="397" t="s">
        <v>1685</v>
      </c>
      <c r="C1436" s="379" t="s">
        <v>1633</v>
      </c>
      <c r="D1436" s="389">
        <f>175.88*1.055</f>
        <v>185.55</v>
      </c>
      <c r="E1436" s="253"/>
      <c r="F1436" s="410"/>
      <c r="G1436" s="226"/>
      <c r="H1436" s="253"/>
      <c r="I1436" s="253"/>
      <c r="J1436" s="253"/>
      <c r="K1436" s="253"/>
      <c r="L1436" s="253"/>
      <c r="M1436" s="253"/>
      <c r="N1436" s="253"/>
      <c r="O1436" s="253"/>
      <c r="P1436" s="253"/>
      <c r="Q1436" s="253"/>
      <c r="R1436" s="253"/>
      <c r="S1436" s="253"/>
      <c r="EH1436" s="346"/>
    </row>
    <row r="1437" spans="1:138" s="345" customFormat="1" ht="40.5" customHeight="1" x14ac:dyDescent="0.2">
      <c r="A1437" s="108" t="s">
        <v>37</v>
      </c>
      <c r="B1437" s="381" t="s">
        <v>1686</v>
      </c>
      <c r="C1437" s="122" t="s">
        <v>1666</v>
      </c>
      <c r="D1437" s="389">
        <f>574.14*1.055</f>
        <v>605.72</v>
      </c>
      <c r="E1437" s="253"/>
      <c r="F1437" s="410"/>
      <c r="G1437" s="226"/>
      <c r="H1437" s="253"/>
      <c r="I1437" s="253"/>
      <c r="J1437" s="253"/>
      <c r="K1437" s="253"/>
      <c r="L1437" s="253"/>
      <c r="M1437" s="253"/>
      <c r="N1437" s="253"/>
      <c r="O1437" s="253"/>
      <c r="P1437" s="253"/>
      <c r="Q1437" s="253"/>
      <c r="R1437" s="253"/>
      <c r="S1437" s="253"/>
      <c r="EH1437" s="346"/>
    </row>
    <row r="1438" spans="1:138" s="2" customFormat="1" ht="15.75" customHeight="1" x14ac:dyDescent="0.2">
      <c r="A1438" s="374"/>
      <c r="B1438" s="1"/>
      <c r="C1438" s="374"/>
      <c r="D1438" s="374"/>
      <c r="E1438" s="253"/>
      <c r="F1438" s="410"/>
      <c r="G1438" s="226"/>
      <c r="H1438" s="253"/>
      <c r="I1438" s="253"/>
      <c r="J1438" s="253"/>
      <c r="K1438" s="253"/>
      <c r="L1438" s="253"/>
      <c r="M1438" s="253"/>
      <c r="N1438" s="253"/>
      <c r="O1438" s="253"/>
      <c r="P1438" s="253"/>
      <c r="Q1438" s="253"/>
      <c r="R1438" s="253"/>
      <c r="S1438" s="253"/>
      <c r="EH1438" s="3"/>
    </row>
    <row r="1439" spans="1:138" s="2" customFormat="1" ht="31.5" customHeight="1" x14ac:dyDescent="0.2">
      <c r="A1439" s="374"/>
      <c r="B1439" s="1"/>
      <c r="C1439" s="374"/>
      <c r="D1439" s="374"/>
      <c r="E1439" s="253"/>
      <c r="F1439" s="410"/>
      <c r="G1439" s="226"/>
      <c r="H1439" s="253"/>
      <c r="I1439" s="253"/>
      <c r="J1439" s="253"/>
      <c r="K1439" s="253"/>
      <c r="L1439" s="253"/>
      <c r="M1439" s="253"/>
      <c r="N1439" s="253"/>
      <c r="O1439" s="253"/>
      <c r="P1439" s="253"/>
      <c r="Q1439" s="253"/>
      <c r="R1439" s="253"/>
      <c r="S1439" s="253"/>
      <c r="EH1439" s="3"/>
    </row>
    <row r="1440" spans="1:138" s="2" customFormat="1" ht="79.5" customHeight="1" x14ac:dyDescent="0.2">
      <c r="A1440" s="496" t="s">
        <v>2101</v>
      </c>
      <c r="B1440" s="496"/>
      <c r="C1440" s="496"/>
      <c r="D1440" s="496"/>
      <c r="E1440" s="253"/>
      <c r="F1440" s="410"/>
      <c r="G1440" s="226"/>
      <c r="H1440" s="253"/>
      <c r="I1440" s="253"/>
      <c r="J1440" s="253"/>
      <c r="K1440" s="253"/>
      <c r="L1440" s="253"/>
      <c r="M1440" s="253"/>
      <c r="N1440" s="253"/>
      <c r="O1440" s="253"/>
      <c r="P1440" s="253"/>
      <c r="Q1440" s="253"/>
      <c r="R1440" s="253"/>
      <c r="S1440" s="253"/>
      <c r="EH1440" s="3"/>
    </row>
    <row r="1441" spans="1:138" s="2" customFormat="1" ht="30" customHeight="1" x14ac:dyDescent="0.2">
      <c r="A1441" s="417"/>
      <c r="B1441" s="417"/>
      <c r="C1441" s="417"/>
      <c r="D1441" s="417"/>
      <c r="E1441" s="253"/>
      <c r="F1441" s="410"/>
      <c r="G1441" s="226"/>
      <c r="H1441" s="253"/>
      <c r="I1441" s="253"/>
      <c r="J1441" s="253"/>
      <c r="K1441" s="253"/>
      <c r="L1441" s="253"/>
      <c r="M1441" s="253"/>
      <c r="N1441" s="253"/>
      <c r="O1441" s="253"/>
      <c r="P1441" s="253"/>
      <c r="Q1441" s="253"/>
      <c r="R1441" s="253"/>
      <c r="S1441" s="253"/>
      <c r="EH1441" s="3"/>
    </row>
    <row r="1442" spans="1:138" s="2" customFormat="1" ht="58.5" customHeight="1" x14ac:dyDescent="0.2">
      <c r="A1442" s="250" t="s">
        <v>14</v>
      </c>
      <c r="B1442" s="381" t="s">
        <v>295</v>
      </c>
      <c r="C1442" s="122" t="s">
        <v>1666</v>
      </c>
      <c r="D1442" s="13">
        <v>1639.25</v>
      </c>
      <c r="E1442" s="253"/>
      <c r="F1442" s="410"/>
      <c r="G1442" s="226"/>
      <c r="H1442" s="253"/>
      <c r="I1442" s="253"/>
      <c r="J1442" s="253"/>
      <c r="K1442" s="253"/>
      <c r="L1442" s="253"/>
      <c r="M1442" s="253"/>
      <c r="N1442" s="253"/>
      <c r="O1442" s="253"/>
      <c r="P1442" s="253"/>
      <c r="Q1442" s="253"/>
      <c r="R1442" s="253"/>
      <c r="S1442" s="253"/>
    </row>
    <row r="1443" spans="1:138" s="2" customFormat="1" ht="26.25" customHeight="1" x14ac:dyDescent="0.2">
      <c r="A1443" s="250" t="s">
        <v>26</v>
      </c>
      <c r="B1443" s="381" t="s">
        <v>2310</v>
      </c>
      <c r="C1443" s="122" t="s">
        <v>1666</v>
      </c>
      <c r="D1443" s="13">
        <v>106.71</v>
      </c>
      <c r="E1443" s="253"/>
      <c r="F1443" s="410"/>
      <c r="G1443" s="226"/>
      <c r="H1443" s="253"/>
      <c r="I1443" s="253"/>
      <c r="J1443" s="253"/>
      <c r="K1443" s="253"/>
      <c r="L1443" s="253"/>
      <c r="M1443" s="253"/>
      <c r="N1443" s="253"/>
      <c r="O1443" s="253"/>
      <c r="P1443" s="253"/>
      <c r="Q1443" s="253"/>
      <c r="R1443" s="253"/>
      <c r="S1443" s="253"/>
    </row>
    <row r="1444" spans="1:138" s="2" customFormat="1" ht="29.25" customHeight="1" x14ac:dyDescent="0.2">
      <c r="A1444" s="250" t="s">
        <v>29</v>
      </c>
      <c r="B1444" s="381" t="s">
        <v>1741</v>
      </c>
      <c r="C1444" s="122" t="s">
        <v>1666</v>
      </c>
      <c r="D1444" s="13">
        <v>2509.85</v>
      </c>
      <c r="E1444" s="253"/>
      <c r="F1444" s="410"/>
      <c r="G1444" s="226"/>
      <c r="H1444" s="253"/>
      <c r="I1444" s="253"/>
      <c r="J1444" s="253"/>
      <c r="K1444" s="253"/>
      <c r="L1444" s="253"/>
      <c r="M1444" s="253"/>
      <c r="N1444" s="253"/>
      <c r="O1444" s="253"/>
      <c r="P1444" s="253"/>
      <c r="Q1444" s="253"/>
      <c r="R1444" s="253"/>
      <c r="S1444" s="253"/>
    </row>
    <row r="1445" spans="1:138" s="2" customFormat="1" ht="31.5" customHeight="1" x14ac:dyDescent="0.2">
      <c r="A1445" s="244" t="s">
        <v>31</v>
      </c>
      <c r="B1445" s="381" t="s">
        <v>1742</v>
      </c>
      <c r="C1445" s="122" t="s">
        <v>1666</v>
      </c>
      <c r="D1445" s="389">
        <v>2907.5</v>
      </c>
      <c r="E1445" s="253"/>
      <c r="F1445" s="410"/>
      <c r="G1445" s="226"/>
      <c r="H1445" s="253"/>
      <c r="I1445" s="253"/>
      <c r="J1445" s="253"/>
      <c r="K1445" s="253"/>
      <c r="L1445" s="253"/>
      <c r="M1445" s="253"/>
      <c r="N1445" s="253"/>
      <c r="O1445" s="253"/>
      <c r="P1445" s="253"/>
      <c r="Q1445" s="253"/>
      <c r="R1445" s="253"/>
      <c r="S1445" s="253"/>
    </row>
    <row r="1446" spans="1:138" s="2" customFormat="1" ht="33.75" customHeight="1" x14ac:dyDescent="0.2">
      <c r="A1446" s="250" t="s">
        <v>35</v>
      </c>
      <c r="B1446" s="381" t="s">
        <v>1743</v>
      </c>
      <c r="C1446" s="122" t="s">
        <v>1666</v>
      </c>
      <c r="D1446" s="13">
        <v>2490.3200000000002</v>
      </c>
      <c r="E1446" s="253"/>
      <c r="F1446" s="410"/>
      <c r="G1446" s="226"/>
      <c r="H1446" s="253"/>
      <c r="I1446" s="253"/>
      <c r="J1446" s="253"/>
      <c r="K1446" s="253"/>
      <c r="L1446" s="253"/>
      <c r="M1446" s="253"/>
      <c r="N1446" s="253"/>
      <c r="O1446" s="253"/>
      <c r="P1446" s="253"/>
      <c r="Q1446" s="253"/>
      <c r="R1446" s="253"/>
      <c r="S1446" s="253"/>
    </row>
    <row r="1447" spans="1:138" s="2" customFormat="1" ht="33.75" customHeight="1" x14ac:dyDescent="0.2">
      <c r="A1447" s="290"/>
      <c r="B1447" s="156"/>
      <c r="C1447" s="291"/>
      <c r="D1447" s="274"/>
      <c r="E1447" s="253"/>
      <c r="F1447" s="410"/>
      <c r="G1447" s="226"/>
      <c r="H1447" s="253"/>
      <c r="I1447" s="253"/>
      <c r="J1447" s="253"/>
      <c r="K1447" s="253"/>
      <c r="L1447" s="253"/>
      <c r="M1447" s="253"/>
      <c r="N1447" s="253"/>
      <c r="O1447" s="253"/>
      <c r="P1447" s="253"/>
      <c r="Q1447" s="253"/>
      <c r="R1447" s="253"/>
      <c r="S1447" s="253"/>
    </row>
    <row r="1448" spans="1:138" s="2" customFormat="1" ht="81.75" customHeight="1" x14ac:dyDescent="0.2">
      <c r="A1448" s="545" t="s">
        <v>2187</v>
      </c>
      <c r="B1448" s="545"/>
      <c r="C1448" s="545"/>
      <c r="D1448" s="545"/>
      <c r="E1448" s="253"/>
      <c r="F1448" s="410"/>
      <c r="G1448" s="226"/>
      <c r="H1448" s="253"/>
      <c r="I1448" s="253"/>
      <c r="J1448" s="253"/>
      <c r="K1448" s="253"/>
      <c r="L1448" s="253"/>
      <c r="M1448" s="253"/>
      <c r="N1448" s="253"/>
      <c r="O1448" s="253"/>
      <c r="P1448" s="253"/>
      <c r="Q1448" s="253"/>
      <c r="R1448" s="253"/>
      <c r="S1448" s="253"/>
    </row>
    <row r="1449" spans="1:138" s="2" customFormat="1" ht="18" customHeight="1" x14ac:dyDescent="0.2">
      <c r="A1449" s="290"/>
      <c r="B1449" s="156"/>
      <c r="C1449" s="291"/>
      <c r="D1449" s="274"/>
      <c r="E1449" s="253"/>
      <c r="F1449" s="410"/>
      <c r="G1449" s="226"/>
      <c r="H1449" s="253"/>
      <c r="I1449" s="253"/>
      <c r="J1449" s="253"/>
      <c r="K1449" s="253"/>
      <c r="L1449" s="253"/>
      <c r="M1449" s="253"/>
      <c r="N1449" s="253"/>
      <c r="O1449" s="253"/>
      <c r="P1449" s="253"/>
      <c r="Q1449" s="253"/>
      <c r="R1449" s="253"/>
      <c r="S1449" s="253"/>
    </row>
    <row r="1450" spans="1:138" s="2" customFormat="1" ht="66.75" customHeight="1" x14ac:dyDescent="0.2">
      <c r="A1450" s="409" t="s">
        <v>14</v>
      </c>
      <c r="B1450" s="289" t="s">
        <v>2311</v>
      </c>
      <c r="C1450" s="122" t="s">
        <v>1666</v>
      </c>
      <c r="D1450" s="13">
        <v>3050.77</v>
      </c>
      <c r="E1450" s="253"/>
      <c r="F1450" s="410"/>
      <c r="G1450" s="226"/>
      <c r="H1450" s="253"/>
      <c r="I1450" s="253"/>
      <c r="J1450" s="253"/>
      <c r="K1450" s="253"/>
      <c r="L1450" s="253"/>
      <c r="M1450" s="253"/>
      <c r="N1450" s="253"/>
      <c r="O1450" s="253"/>
      <c r="P1450" s="253"/>
      <c r="Q1450" s="253"/>
      <c r="R1450" s="253"/>
      <c r="S1450" s="253"/>
    </row>
    <row r="1451" spans="1:138" s="2" customFormat="1" ht="66" customHeight="1" x14ac:dyDescent="0.2">
      <c r="A1451" s="409" t="s">
        <v>26</v>
      </c>
      <c r="B1451" s="289" t="s">
        <v>2312</v>
      </c>
      <c r="C1451" s="122" t="s">
        <v>1666</v>
      </c>
      <c r="D1451" s="13">
        <v>2249.71</v>
      </c>
      <c r="E1451" s="253"/>
      <c r="F1451" s="410"/>
      <c r="G1451" s="226"/>
      <c r="H1451" s="253"/>
      <c r="I1451" s="253"/>
      <c r="J1451" s="253"/>
      <c r="K1451" s="253"/>
      <c r="L1451" s="253"/>
      <c r="M1451" s="253"/>
      <c r="N1451" s="253"/>
      <c r="O1451" s="253"/>
      <c r="P1451" s="253"/>
      <c r="Q1451" s="253"/>
      <c r="R1451" s="253"/>
      <c r="S1451" s="253"/>
    </row>
    <row r="1452" spans="1:138" s="2" customFormat="1" x14ac:dyDescent="0.2">
      <c r="A1452" s="374"/>
      <c r="B1452" s="1"/>
      <c r="C1452" s="374"/>
      <c r="D1452" s="374"/>
      <c r="E1452" s="253"/>
      <c r="F1452" s="410"/>
      <c r="G1452" s="226"/>
      <c r="H1452" s="253"/>
      <c r="I1452" s="253"/>
      <c r="J1452" s="253"/>
      <c r="K1452" s="253"/>
      <c r="L1452" s="253"/>
      <c r="M1452" s="253"/>
      <c r="N1452" s="253"/>
      <c r="O1452" s="253"/>
      <c r="P1452" s="253"/>
      <c r="Q1452" s="253"/>
      <c r="R1452" s="253"/>
      <c r="S1452" s="253"/>
    </row>
    <row r="1453" spans="1:138" s="2" customFormat="1" x14ac:dyDescent="0.2">
      <c r="A1453" s="374"/>
      <c r="B1453" s="1"/>
      <c r="C1453" s="374"/>
      <c r="D1453" s="374"/>
      <c r="E1453" s="253"/>
      <c r="F1453" s="410"/>
      <c r="G1453" s="226"/>
      <c r="H1453" s="253"/>
      <c r="I1453" s="253"/>
      <c r="J1453" s="253"/>
      <c r="K1453" s="253"/>
      <c r="L1453" s="253"/>
      <c r="M1453" s="253"/>
      <c r="N1453" s="253"/>
      <c r="O1453" s="253"/>
      <c r="P1453" s="253"/>
      <c r="Q1453" s="253"/>
      <c r="R1453" s="253"/>
      <c r="S1453" s="253"/>
    </row>
    <row r="1454" spans="1:138" s="2" customFormat="1" x14ac:dyDescent="0.2">
      <c r="A1454" s="374"/>
      <c r="B1454" s="1"/>
      <c r="C1454" s="374"/>
      <c r="D1454" s="374"/>
      <c r="E1454" s="253"/>
      <c r="F1454" s="410"/>
      <c r="G1454" s="226"/>
      <c r="H1454" s="253"/>
      <c r="I1454" s="253"/>
      <c r="J1454" s="253"/>
      <c r="K1454" s="253"/>
      <c r="L1454" s="253"/>
      <c r="M1454" s="253"/>
      <c r="N1454" s="253"/>
      <c r="O1454" s="253"/>
      <c r="P1454" s="253"/>
      <c r="Q1454" s="253"/>
      <c r="R1454" s="253"/>
      <c r="S1454" s="253"/>
    </row>
    <row r="1455" spans="1:138" s="2" customFormat="1" x14ac:dyDescent="0.2">
      <c r="A1455" s="374"/>
      <c r="B1455" s="1"/>
      <c r="C1455" s="374"/>
      <c r="D1455" s="374"/>
      <c r="E1455" s="253"/>
      <c r="F1455" s="410"/>
      <c r="G1455" s="226"/>
      <c r="H1455" s="253"/>
      <c r="I1455" s="253"/>
      <c r="J1455" s="253"/>
      <c r="K1455" s="253"/>
      <c r="L1455" s="253"/>
      <c r="M1455" s="253"/>
      <c r="N1455" s="253"/>
      <c r="O1455" s="253"/>
      <c r="P1455" s="253"/>
      <c r="Q1455" s="253"/>
      <c r="R1455" s="253"/>
      <c r="S1455" s="253"/>
    </row>
    <row r="1456" spans="1:138" s="2" customFormat="1" x14ac:dyDescent="0.2">
      <c r="A1456" s="374"/>
      <c r="B1456" s="1"/>
      <c r="C1456" s="374"/>
      <c r="D1456" s="374"/>
      <c r="E1456" s="253"/>
      <c r="F1456" s="410"/>
      <c r="G1456" s="226"/>
      <c r="H1456" s="253"/>
      <c r="I1456" s="253"/>
      <c r="J1456" s="253"/>
      <c r="K1456" s="253"/>
      <c r="L1456" s="253"/>
      <c r="M1456" s="253"/>
      <c r="N1456" s="253"/>
      <c r="O1456" s="253"/>
      <c r="P1456" s="253"/>
      <c r="Q1456" s="253"/>
      <c r="R1456" s="253"/>
      <c r="S1456" s="253"/>
    </row>
    <row r="1457" spans="1:19" s="2" customFormat="1" x14ac:dyDescent="0.2">
      <c r="A1457" s="374"/>
      <c r="B1457" s="1"/>
      <c r="C1457" s="374"/>
      <c r="D1457" s="374"/>
      <c r="E1457" s="253"/>
      <c r="F1457" s="410"/>
      <c r="G1457" s="226"/>
      <c r="H1457" s="253"/>
      <c r="I1457" s="253"/>
      <c r="J1457" s="253"/>
      <c r="K1457" s="253"/>
      <c r="L1457" s="253"/>
      <c r="M1457" s="253"/>
      <c r="N1457" s="253"/>
      <c r="O1457" s="253"/>
      <c r="P1457" s="253"/>
      <c r="Q1457" s="253"/>
      <c r="R1457" s="253"/>
      <c r="S1457" s="253"/>
    </row>
    <row r="1458" spans="1:19" s="2" customFormat="1" x14ac:dyDescent="0.2">
      <c r="A1458" s="374"/>
      <c r="B1458" s="1"/>
      <c r="C1458" s="374"/>
      <c r="D1458" s="374"/>
      <c r="E1458" s="253"/>
      <c r="F1458" s="410"/>
      <c r="G1458" s="226"/>
      <c r="H1458" s="253"/>
      <c r="I1458" s="253"/>
      <c r="J1458" s="253"/>
      <c r="K1458" s="253"/>
      <c r="L1458" s="253"/>
      <c r="M1458" s="253"/>
      <c r="N1458" s="253"/>
      <c r="O1458" s="253"/>
      <c r="P1458" s="253"/>
      <c r="Q1458" s="253"/>
      <c r="R1458" s="253"/>
      <c r="S1458" s="253"/>
    </row>
    <row r="1459" spans="1:19" s="2" customFormat="1" x14ac:dyDescent="0.2">
      <c r="A1459" s="374"/>
      <c r="B1459" s="1"/>
      <c r="C1459" s="374"/>
      <c r="D1459" s="374"/>
      <c r="E1459" s="253"/>
      <c r="F1459" s="410"/>
      <c r="G1459" s="226"/>
      <c r="H1459" s="253"/>
      <c r="I1459" s="253"/>
      <c r="J1459" s="253"/>
      <c r="K1459" s="253"/>
      <c r="L1459" s="253"/>
      <c r="M1459" s="253"/>
      <c r="N1459" s="253"/>
      <c r="O1459" s="253"/>
      <c r="P1459" s="253"/>
      <c r="Q1459" s="253"/>
      <c r="R1459" s="253"/>
      <c r="S1459" s="253"/>
    </row>
    <row r="1460" spans="1:19" s="2" customFormat="1" x14ac:dyDescent="0.2">
      <c r="A1460" s="374"/>
      <c r="B1460" s="1"/>
      <c r="C1460" s="374"/>
      <c r="D1460" s="374"/>
      <c r="E1460" s="253"/>
      <c r="F1460" s="410"/>
      <c r="G1460" s="226"/>
      <c r="H1460" s="253"/>
      <c r="I1460" s="253"/>
      <c r="J1460" s="253"/>
      <c r="K1460" s="253"/>
      <c r="L1460" s="253"/>
      <c r="M1460" s="253"/>
      <c r="N1460" s="253"/>
      <c r="O1460" s="253"/>
      <c r="P1460" s="253"/>
      <c r="Q1460" s="253"/>
      <c r="R1460" s="253"/>
      <c r="S1460" s="253"/>
    </row>
    <row r="1461" spans="1:19" s="2" customFormat="1" x14ac:dyDescent="0.2">
      <c r="A1461" s="374"/>
      <c r="B1461" s="1"/>
      <c r="C1461" s="374"/>
      <c r="D1461" s="374"/>
      <c r="E1461" s="253"/>
      <c r="F1461" s="410"/>
      <c r="G1461" s="226"/>
      <c r="H1461" s="253"/>
      <c r="I1461" s="253"/>
      <c r="J1461" s="253"/>
      <c r="K1461" s="253"/>
      <c r="L1461" s="253"/>
      <c r="M1461" s="253"/>
      <c r="N1461" s="253"/>
      <c r="O1461" s="253"/>
      <c r="P1461" s="253"/>
      <c r="Q1461" s="253"/>
      <c r="R1461" s="253"/>
      <c r="S1461" s="253"/>
    </row>
    <row r="1462" spans="1:19" s="2" customFormat="1" x14ac:dyDescent="0.2">
      <c r="A1462" s="374"/>
      <c r="B1462" s="1"/>
      <c r="C1462" s="374"/>
      <c r="D1462" s="374"/>
      <c r="E1462" s="253"/>
      <c r="F1462" s="410"/>
      <c r="G1462" s="226"/>
      <c r="H1462" s="253"/>
      <c r="I1462" s="253"/>
      <c r="J1462" s="253"/>
      <c r="K1462" s="253"/>
      <c r="L1462" s="253"/>
      <c r="M1462" s="253"/>
      <c r="N1462" s="253"/>
      <c r="O1462" s="253"/>
      <c r="P1462" s="253"/>
      <c r="Q1462" s="253"/>
      <c r="R1462" s="253"/>
      <c r="S1462" s="253"/>
    </row>
    <row r="1463" spans="1:19" s="2" customFormat="1" x14ac:dyDescent="0.2">
      <c r="A1463" s="374"/>
      <c r="B1463" s="1"/>
      <c r="C1463" s="374"/>
      <c r="D1463" s="374"/>
      <c r="E1463" s="253"/>
      <c r="F1463" s="410"/>
      <c r="G1463" s="226"/>
      <c r="H1463" s="253"/>
      <c r="I1463" s="253"/>
      <c r="J1463" s="253"/>
      <c r="K1463" s="253"/>
      <c r="L1463" s="253"/>
      <c r="M1463" s="253"/>
      <c r="N1463" s="253"/>
      <c r="O1463" s="253"/>
      <c r="P1463" s="253"/>
      <c r="Q1463" s="253"/>
      <c r="R1463" s="253"/>
      <c r="S1463" s="253"/>
    </row>
    <row r="1464" spans="1:19" s="2" customFormat="1" x14ac:dyDescent="0.2">
      <c r="A1464" s="374"/>
      <c r="B1464" s="1"/>
      <c r="C1464" s="374"/>
      <c r="D1464" s="374"/>
      <c r="E1464" s="253"/>
      <c r="F1464" s="410"/>
      <c r="G1464" s="226"/>
      <c r="H1464" s="253"/>
      <c r="I1464" s="253"/>
      <c r="J1464" s="253"/>
      <c r="K1464" s="253"/>
      <c r="L1464" s="253"/>
      <c r="M1464" s="253"/>
      <c r="N1464" s="253"/>
      <c r="O1464" s="253"/>
      <c r="P1464" s="253"/>
      <c r="Q1464" s="253"/>
      <c r="R1464" s="253"/>
      <c r="S1464" s="253"/>
    </row>
    <row r="1465" spans="1:19" s="2" customFormat="1" x14ac:dyDescent="0.2">
      <c r="A1465" s="374"/>
      <c r="B1465" s="1"/>
      <c r="C1465" s="374"/>
      <c r="D1465" s="374"/>
      <c r="E1465" s="253"/>
      <c r="F1465" s="410"/>
      <c r="G1465" s="226"/>
      <c r="H1465" s="253"/>
      <c r="I1465" s="253"/>
      <c r="J1465" s="253"/>
      <c r="K1465" s="253"/>
      <c r="L1465" s="253"/>
      <c r="M1465" s="253"/>
      <c r="N1465" s="253"/>
      <c r="O1465" s="253"/>
      <c r="P1465" s="253"/>
      <c r="Q1465" s="253"/>
      <c r="R1465" s="253"/>
      <c r="S1465" s="253"/>
    </row>
    <row r="1466" spans="1:19" s="2" customFormat="1" x14ac:dyDescent="0.2">
      <c r="A1466" s="374"/>
      <c r="B1466" s="1"/>
      <c r="C1466" s="374"/>
      <c r="D1466" s="374"/>
      <c r="E1466" s="253"/>
      <c r="F1466" s="410"/>
      <c r="G1466" s="226"/>
      <c r="H1466" s="253"/>
      <c r="I1466" s="253"/>
      <c r="J1466" s="253"/>
      <c r="K1466" s="253"/>
      <c r="L1466" s="253"/>
      <c r="M1466" s="253"/>
      <c r="N1466" s="253"/>
      <c r="O1466" s="253"/>
      <c r="P1466" s="253"/>
      <c r="Q1466" s="253"/>
      <c r="R1466" s="253"/>
      <c r="S1466" s="253"/>
    </row>
    <row r="1467" spans="1:19" s="2" customFormat="1" x14ac:dyDescent="0.2">
      <c r="A1467" s="374"/>
      <c r="B1467" s="1"/>
      <c r="C1467" s="374"/>
      <c r="D1467" s="374"/>
      <c r="E1467" s="253"/>
      <c r="F1467" s="410"/>
      <c r="G1467" s="226"/>
      <c r="H1467" s="253"/>
      <c r="I1467" s="253"/>
      <c r="J1467" s="253"/>
      <c r="K1467" s="253"/>
      <c r="L1467" s="253"/>
      <c r="M1467" s="253"/>
      <c r="N1467" s="253"/>
      <c r="O1467" s="253"/>
      <c r="P1467" s="253"/>
      <c r="Q1467" s="253"/>
      <c r="R1467" s="253"/>
      <c r="S1467" s="253"/>
    </row>
    <row r="1468" spans="1:19" s="2" customFormat="1" x14ac:dyDescent="0.2">
      <c r="A1468" s="374"/>
      <c r="B1468" s="1"/>
      <c r="C1468" s="374"/>
      <c r="D1468" s="374"/>
      <c r="E1468" s="253"/>
      <c r="F1468" s="410"/>
      <c r="G1468" s="226"/>
      <c r="H1468" s="253"/>
      <c r="I1468" s="253"/>
      <c r="J1468" s="253"/>
      <c r="K1468" s="253"/>
      <c r="L1468" s="253"/>
      <c r="M1468" s="253"/>
      <c r="N1468" s="253"/>
      <c r="O1468" s="253"/>
      <c r="P1468" s="253"/>
      <c r="Q1468" s="253"/>
      <c r="R1468" s="253"/>
      <c r="S1468" s="253"/>
    </row>
    <row r="1469" spans="1:19" s="2" customFormat="1" x14ac:dyDescent="0.2">
      <c r="A1469" s="374"/>
      <c r="B1469" s="1"/>
      <c r="C1469" s="374"/>
      <c r="D1469" s="374"/>
      <c r="E1469" s="253"/>
      <c r="F1469" s="410"/>
      <c r="G1469" s="226"/>
      <c r="H1469" s="253"/>
      <c r="I1469" s="253"/>
      <c r="J1469" s="253"/>
      <c r="K1469" s="253"/>
      <c r="L1469" s="253"/>
      <c r="M1469" s="253"/>
      <c r="N1469" s="253"/>
      <c r="O1469" s="253"/>
      <c r="P1469" s="253"/>
      <c r="Q1469" s="253"/>
      <c r="R1469" s="253"/>
      <c r="S1469" s="253"/>
    </row>
    <row r="1470" spans="1:19" s="2" customFormat="1" x14ac:dyDescent="0.2">
      <c r="A1470" s="374"/>
      <c r="B1470" s="1"/>
      <c r="C1470" s="374"/>
      <c r="D1470" s="374"/>
      <c r="E1470" s="253"/>
      <c r="F1470" s="410"/>
      <c r="G1470" s="226"/>
      <c r="H1470" s="253"/>
      <c r="I1470" s="253"/>
      <c r="J1470" s="253"/>
      <c r="K1470" s="253"/>
      <c r="L1470" s="253"/>
      <c r="M1470" s="253"/>
      <c r="N1470" s="253"/>
      <c r="O1470" s="253"/>
      <c r="P1470" s="253"/>
      <c r="Q1470" s="253"/>
      <c r="R1470" s="253"/>
      <c r="S1470" s="253"/>
    </row>
    <row r="1471" spans="1:19" s="2" customFormat="1" x14ac:dyDescent="0.2">
      <c r="A1471" s="374"/>
      <c r="B1471" s="1"/>
      <c r="C1471" s="374"/>
      <c r="D1471" s="374"/>
      <c r="E1471" s="253"/>
      <c r="F1471" s="410"/>
      <c r="G1471" s="226"/>
      <c r="H1471" s="253"/>
      <c r="I1471" s="253"/>
      <c r="J1471" s="253"/>
      <c r="K1471" s="253"/>
      <c r="L1471" s="253"/>
      <c r="M1471" s="253"/>
      <c r="N1471" s="253"/>
      <c r="O1471" s="253"/>
      <c r="P1471" s="253"/>
      <c r="Q1471" s="253"/>
      <c r="R1471" s="253"/>
      <c r="S1471" s="253"/>
    </row>
    <row r="1472" spans="1:19" s="2" customFormat="1" x14ac:dyDescent="0.2">
      <c r="A1472" s="374"/>
      <c r="B1472" s="1"/>
      <c r="C1472" s="374"/>
      <c r="D1472" s="374"/>
      <c r="E1472" s="253"/>
      <c r="F1472" s="410"/>
      <c r="G1472" s="226"/>
      <c r="H1472" s="253"/>
      <c r="I1472" s="253"/>
      <c r="J1472" s="253"/>
      <c r="K1472" s="253"/>
      <c r="L1472" s="253"/>
      <c r="M1472" s="253"/>
      <c r="N1472" s="253"/>
      <c r="O1472" s="253"/>
      <c r="P1472" s="253"/>
      <c r="Q1472" s="253"/>
      <c r="R1472" s="253"/>
      <c r="S1472" s="253"/>
    </row>
    <row r="1473" spans="1:19" s="2" customFormat="1" x14ac:dyDescent="0.2">
      <c r="A1473" s="374"/>
      <c r="B1473" s="1"/>
      <c r="C1473" s="374"/>
      <c r="D1473" s="374"/>
      <c r="E1473" s="253"/>
      <c r="F1473" s="410"/>
      <c r="G1473" s="226"/>
      <c r="H1473" s="253"/>
      <c r="I1473" s="253"/>
      <c r="J1473" s="253"/>
      <c r="K1473" s="253"/>
      <c r="L1473" s="253"/>
      <c r="M1473" s="253"/>
      <c r="N1473" s="253"/>
      <c r="O1473" s="253"/>
      <c r="P1473" s="253"/>
      <c r="Q1473" s="253"/>
      <c r="R1473" s="253"/>
      <c r="S1473" s="253"/>
    </row>
    <row r="1474" spans="1:19" s="2" customFormat="1" x14ac:dyDescent="0.2">
      <c r="A1474" s="374"/>
      <c r="B1474" s="1"/>
      <c r="C1474" s="374"/>
      <c r="D1474" s="374"/>
      <c r="E1474" s="253"/>
      <c r="F1474" s="410"/>
      <c r="G1474" s="226"/>
      <c r="H1474" s="253"/>
      <c r="I1474" s="253"/>
      <c r="J1474" s="253"/>
      <c r="K1474" s="253"/>
      <c r="L1474" s="253"/>
      <c r="M1474" s="253"/>
      <c r="N1474" s="253"/>
      <c r="O1474" s="253"/>
      <c r="P1474" s="253"/>
      <c r="Q1474" s="253"/>
      <c r="R1474" s="253"/>
      <c r="S1474" s="253"/>
    </row>
    <row r="1475" spans="1:19" s="2" customFormat="1" x14ac:dyDescent="0.2">
      <c r="A1475" s="374"/>
      <c r="B1475" s="1"/>
      <c r="C1475" s="374"/>
      <c r="D1475" s="374"/>
      <c r="E1475" s="253"/>
      <c r="F1475" s="410"/>
      <c r="G1475" s="226"/>
      <c r="H1475" s="253"/>
      <c r="I1475" s="253"/>
      <c r="J1475" s="253"/>
      <c r="K1475" s="253"/>
      <c r="L1475" s="253"/>
      <c r="M1475" s="253"/>
      <c r="N1475" s="253"/>
      <c r="O1475" s="253"/>
      <c r="P1475" s="253"/>
      <c r="Q1475" s="253"/>
      <c r="R1475" s="253"/>
      <c r="S1475" s="253"/>
    </row>
    <row r="1476" spans="1:19" s="2" customFormat="1" x14ac:dyDescent="0.2">
      <c r="A1476" s="374"/>
      <c r="B1476" s="1"/>
      <c r="C1476" s="374"/>
      <c r="D1476" s="374"/>
      <c r="E1476" s="253"/>
      <c r="F1476" s="410"/>
      <c r="G1476" s="226"/>
      <c r="H1476" s="253"/>
      <c r="I1476" s="253"/>
      <c r="J1476" s="253"/>
      <c r="K1476" s="253"/>
      <c r="L1476" s="253"/>
      <c r="M1476" s="253"/>
      <c r="N1476" s="253"/>
      <c r="O1476" s="253"/>
      <c r="P1476" s="253"/>
      <c r="Q1476" s="253"/>
      <c r="R1476" s="253"/>
      <c r="S1476" s="253"/>
    </row>
    <row r="1477" spans="1:19" s="2" customFormat="1" x14ac:dyDescent="0.2">
      <c r="A1477" s="374"/>
      <c r="B1477" s="1"/>
      <c r="C1477" s="374"/>
      <c r="D1477" s="374"/>
      <c r="E1477" s="253"/>
      <c r="F1477" s="410"/>
      <c r="G1477" s="226"/>
      <c r="H1477" s="253"/>
      <c r="I1477" s="253"/>
      <c r="J1477" s="253"/>
      <c r="K1477" s="253"/>
      <c r="L1477" s="253"/>
      <c r="M1477" s="253"/>
      <c r="N1477" s="253"/>
      <c r="O1477" s="253"/>
      <c r="P1477" s="253"/>
      <c r="Q1477" s="253"/>
      <c r="R1477" s="253"/>
      <c r="S1477" s="253"/>
    </row>
    <row r="1478" spans="1:19" s="2" customFormat="1" x14ac:dyDescent="0.2">
      <c r="A1478" s="374"/>
      <c r="B1478" s="1"/>
      <c r="C1478" s="374"/>
      <c r="D1478" s="374"/>
      <c r="E1478" s="253"/>
      <c r="F1478" s="410"/>
      <c r="G1478" s="226"/>
      <c r="H1478" s="253"/>
      <c r="I1478" s="253"/>
      <c r="J1478" s="253"/>
      <c r="K1478" s="253"/>
      <c r="L1478" s="253"/>
      <c r="M1478" s="253"/>
      <c r="N1478" s="253"/>
      <c r="O1478" s="253"/>
      <c r="P1478" s="253"/>
      <c r="Q1478" s="253"/>
      <c r="R1478" s="253"/>
      <c r="S1478" s="253"/>
    </row>
    <row r="1479" spans="1:19" s="2" customFormat="1" x14ac:dyDescent="0.2">
      <c r="A1479" s="374"/>
      <c r="B1479" s="1"/>
      <c r="C1479" s="374"/>
      <c r="D1479" s="374"/>
      <c r="E1479" s="253"/>
      <c r="F1479" s="410"/>
      <c r="G1479" s="226"/>
      <c r="H1479" s="253"/>
      <c r="I1479" s="253"/>
      <c r="J1479" s="253"/>
      <c r="K1479" s="253"/>
      <c r="L1479" s="253"/>
      <c r="M1479" s="253"/>
      <c r="N1479" s="253"/>
      <c r="O1479" s="253"/>
      <c r="P1479" s="253"/>
      <c r="Q1479" s="253"/>
      <c r="R1479" s="253"/>
      <c r="S1479" s="253"/>
    </row>
    <row r="1480" spans="1:19" s="2" customFormat="1" x14ac:dyDescent="0.2">
      <c r="A1480" s="374"/>
      <c r="B1480" s="1"/>
      <c r="C1480" s="374"/>
      <c r="D1480" s="374"/>
      <c r="E1480" s="253"/>
      <c r="F1480" s="410"/>
      <c r="G1480" s="226"/>
      <c r="H1480" s="253"/>
      <c r="I1480" s="253"/>
      <c r="J1480" s="253"/>
      <c r="K1480" s="253"/>
      <c r="L1480" s="253"/>
      <c r="M1480" s="253"/>
      <c r="N1480" s="253"/>
      <c r="O1480" s="253"/>
      <c r="P1480" s="253"/>
      <c r="Q1480" s="253"/>
      <c r="R1480" s="253"/>
      <c r="S1480" s="253"/>
    </row>
    <row r="1481" spans="1:19" s="2" customFormat="1" x14ac:dyDescent="0.2">
      <c r="A1481" s="374"/>
      <c r="B1481" s="1"/>
      <c r="C1481" s="374"/>
      <c r="D1481" s="374"/>
      <c r="E1481" s="253"/>
      <c r="F1481" s="410"/>
      <c r="G1481" s="226"/>
      <c r="H1481" s="253"/>
      <c r="I1481" s="253"/>
      <c r="J1481" s="253"/>
      <c r="K1481" s="253"/>
      <c r="L1481" s="253"/>
      <c r="M1481" s="253"/>
      <c r="N1481" s="253"/>
      <c r="O1481" s="253"/>
      <c r="P1481" s="253"/>
      <c r="Q1481" s="253"/>
      <c r="R1481" s="253"/>
      <c r="S1481" s="253"/>
    </row>
    <row r="1482" spans="1:19" s="2" customFormat="1" x14ac:dyDescent="0.2">
      <c r="A1482" s="374"/>
      <c r="B1482" s="1"/>
      <c r="C1482" s="374"/>
      <c r="D1482" s="374"/>
      <c r="E1482" s="253"/>
      <c r="F1482" s="410"/>
      <c r="G1482" s="226"/>
      <c r="H1482" s="253"/>
      <c r="I1482" s="253"/>
      <c r="J1482" s="253"/>
      <c r="K1482" s="253"/>
      <c r="L1482" s="253"/>
      <c r="M1482" s="253"/>
      <c r="N1482" s="253"/>
      <c r="O1482" s="253"/>
      <c r="P1482" s="253"/>
      <c r="Q1482" s="253"/>
      <c r="R1482" s="253"/>
      <c r="S1482" s="253"/>
    </row>
    <row r="1483" spans="1:19" s="2" customFormat="1" x14ac:dyDescent="0.2">
      <c r="A1483" s="374"/>
      <c r="B1483" s="1"/>
      <c r="C1483" s="374"/>
      <c r="D1483" s="374"/>
      <c r="E1483" s="253"/>
      <c r="F1483" s="410"/>
      <c r="G1483" s="226"/>
      <c r="H1483" s="253"/>
      <c r="I1483" s="253"/>
      <c r="J1483" s="253"/>
      <c r="K1483" s="253"/>
      <c r="L1483" s="253"/>
      <c r="M1483" s="253"/>
      <c r="N1483" s="253"/>
      <c r="O1483" s="253"/>
      <c r="P1483" s="253"/>
      <c r="Q1483" s="253"/>
      <c r="R1483" s="253"/>
      <c r="S1483" s="253"/>
    </row>
    <row r="1484" spans="1:19" s="2" customFormat="1" x14ac:dyDescent="0.2">
      <c r="A1484" s="374"/>
      <c r="B1484" s="1"/>
      <c r="C1484" s="374"/>
      <c r="D1484" s="374"/>
      <c r="E1484" s="253"/>
      <c r="F1484" s="410"/>
      <c r="G1484" s="226"/>
      <c r="H1484" s="253"/>
      <c r="I1484" s="253"/>
      <c r="J1484" s="253"/>
      <c r="K1484" s="253"/>
      <c r="L1484" s="253"/>
      <c r="M1484" s="253"/>
      <c r="N1484" s="253"/>
      <c r="O1484" s="253"/>
      <c r="P1484" s="253"/>
      <c r="Q1484" s="253"/>
      <c r="R1484" s="253"/>
      <c r="S1484" s="253"/>
    </row>
    <row r="1485" spans="1:19" s="2" customFormat="1" x14ac:dyDescent="0.2">
      <c r="A1485" s="374"/>
      <c r="B1485" s="1"/>
      <c r="C1485" s="374"/>
      <c r="D1485" s="374"/>
      <c r="E1485" s="253"/>
      <c r="F1485" s="410"/>
      <c r="G1485" s="226"/>
      <c r="H1485" s="253"/>
      <c r="I1485" s="253"/>
      <c r="J1485" s="253"/>
      <c r="K1485" s="253"/>
      <c r="L1485" s="253"/>
      <c r="M1485" s="253"/>
      <c r="N1485" s="253"/>
      <c r="O1485" s="253"/>
      <c r="P1485" s="253"/>
      <c r="Q1485" s="253"/>
      <c r="R1485" s="253"/>
      <c r="S1485" s="253"/>
    </row>
    <row r="1486" spans="1:19" s="2" customFormat="1" x14ac:dyDescent="0.2">
      <c r="A1486" s="374"/>
      <c r="B1486" s="1"/>
      <c r="C1486" s="374"/>
      <c r="D1486" s="374"/>
      <c r="E1486" s="253"/>
      <c r="F1486" s="410"/>
      <c r="G1486" s="226"/>
      <c r="H1486" s="253"/>
      <c r="I1486" s="253"/>
      <c r="J1486" s="253"/>
      <c r="K1486" s="253"/>
      <c r="L1486" s="253"/>
      <c r="M1486" s="253"/>
      <c r="N1486" s="253"/>
      <c r="O1486" s="253"/>
      <c r="P1486" s="253"/>
      <c r="Q1486" s="253"/>
      <c r="R1486" s="253"/>
      <c r="S1486" s="253"/>
    </row>
    <row r="1487" spans="1:19" s="2" customFormat="1" x14ac:dyDescent="0.2">
      <c r="A1487" s="374"/>
      <c r="B1487" s="1"/>
      <c r="C1487" s="374"/>
      <c r="D1487" s="374"/>
      <c r="E1487" s="253"/>
      <c r="F1487" s="410"/>
      <c r="G1487" s="226"/>
      <c r="H1487" s="253"/>
      <c r="I1487" s="253"/>
      <c r="J1487" s="253"/>
      <c r="K1487" s="253"/>
      <c r="L1487" s="253"/>
      <c r="M1487" s="253"/>
      <c r="N1487" s="253"/>
      <c r="O1487" s="253"/>
      <c r="P1487" s="253"/>
      <c r="Q1487" s="253"/>
      <c r="R1487" s="253"/>
      <c r="S1487" s="253"/>
    </row>
    <row r="1488" spans="1:19" s="2" customFormat="1" x14ac:dyDescent="0.2">
      <c r="A1488" s="374"/>
      <c r="B1488" s="1"/>
      <c r="C1488" s="374"/>
      <c r="D1488" s="374"/>
      <c r="E1488" s="253"/>
      <c r="F1488" s="410"/>
      <c r="G1488" s="226"/>
      <c r="H1488" s="253"/>
      <c r="I1488" s="253"/>
      <c r="J1488" s="253"/>
      <c r="K1488" s="253"/>
      <c r="L1488" s="253"/>
      <c r="M1488" s="253"/>
      <c r="N1488" s="253"/>
      <c r="O1488" s="253"/>
      <c r="P1488" s="253"/>
      <c r="Q1488" s="253"/>
      <c r="R1488" s="253"/>
      <c r="S1488" s="253"/>
    </row>
    <row r="1489" spans="1:19" s="2" customFormat="1" x14ac:dyDescent="0.2">
      <c r="A1489" s="374"/>
      <c r="B1489" s="1"/>
      <c r="C1489" s="374"/>
      <c r="D1489" s="374"/>
      <c r="E1489" s="253"/>
      <c r="F1489" s="410"/>
      <c r="G1489" s="226"/>
      <c r="H1489" s="253"/>
      <c r="I1489" s="253"/>
      <c r="J1489" s="253"/>
      <c r="K1489" s="253"/>
      <c r="L1489" s="253"/>
      <c r="M1489" s="253"/>
      <c r="N1489" s="253"/>
      <c r="O1489" s="253"/>
      <c r="P1489" s="253"/>
      <c r="Q1489" s="253"/>
      <c r="R1489" s="253"/>
      <c r="S1489" s="253"/>
    </row>
    <row r="1490" spans="1:19" s="2" customFormat="1" x14ac:dyDescent="0.2">
      <c r="A1490" s="374"/>
      <c r="B1490" s="1"/>
      <c r="C1490" s="374"/>
      <c r="D1490" s="374"/>
      <c r="E1490" s="253"/>
      <c r="F1490" s="410"/>
      <c r="G1490" s="226"/>
      <c r="H1490" s="253"/>
      <c r="I1490" s="253"/>
      <c r="J1490" s="253"/>
      <c r="K1490" s="253"/>
      <c r="L1490" s="253"/>
      <c r="M1490" s="253"/>
      <c r="N1490" s="253"/>
      <c r="O1490" s="253"/>
      <c r="P1490" s="253"/>
      <c r="Q1490" s="253"/>
      <c r="R1490" s="253"/>
      <c r="S1490" s="253"/>
    </row>
    <row r="1491" spans="1:19" s="2" customFormat="1" x14ac:dyDescent="0.2">
      <c r="A1491" s="374"/>
      <c r="B1491" s="1"/>
      <c r="C1491" s="374"/>
      <c r="D1491" s="374"/>
      <c r="E1491" s="253"/>
      <c r="F1491" s="410"/>
      <c r="G1491" s="226"/>
      <c r="H1491" s="253"/>
      <c r="I1491" s="253"/>
      <c r="J1491" s="253"/>
      <c r="K1491" s="253"/>
      <c r="L1491" s="253"/>
      <c r="M1491" s="253"/>
      <c r="N1491" s="253"/>
      <c r="O1491" s="253"/>
      <c r="P1491" s="253"/>
      <c r="Q1491" s="253"/>
      <c r="R1491" s="253"/>
      <c r="S1491" s="253"/>
    </row>
    <row r="1492" spans="1:19" s="2" customFormat="1" x14ac:dyDescent="0.2">
      <c r="A1492" s="374"/>
      <c r="B1492" s="1"/>
      <c r="C1492" s="374"/>
      <c r="D1492" s="374"/>
      <c r="E1492" s="253"/>
      <c r="F1492" s="410"/>
      <c r="G1492" s="226"/>
      <c r="H1492" s="253"/>
      <c r="I1492" s="253"/>
      <c r="J1492" s="253"/>
      <c r="K1492" s="253"/>
      <c r="L1492" s="253"/>
      <c r="M1492" s="253"/>
      <c r="N1492" s="253"/>
      <c r="O1492" s="253"/>
      <c r="P1492" s="253"/>
      <c r="Q1492" s="253"/>
      <c r="R1492" s="253"/>
      <c r="S1492" s="253"/>
    </row>
    <row r="1493" spans="1:19" s="2" customFormat="1" x14ac:dyDescent="0.2">
      <c r="A1493" s="374"/>
      <c r="B1493" s="1"/>
      <c r="C1493" s="374"/>
      <c r="D1493" s="374"/>
      <c r="E1493" s="253"/>
      <c r="F1493" s="410"/>
      <c r="G1493" s="226"/>
      <c r="H1493" s="253"/>
      <c r="I1493" s="253"/>
      <c r="J1493" s="253"/>
      <c r="K1493" s="253"/>
      <c r="L1493" s="253"/>
      <c r="M1493" s="253"/>
      <c r="N1493" s="253"/>
      <c r="O1493" s="253"/>
      <c r="P1493" s="253"/>
      <c r="Q1493" s="253"/>
      <c r="R1493" s="253"/>
      <c r="S1493" s="253"/>
    </row>
    <row r="1494" spans="1:19" s="2" customFormat="1" x14ac:dyDescent="0.2">
      <c r="A1494" s="374"/>
      <c r="B1494" s="1"/>
      <c r="C1494" s="374"/>
      <c r="D1494" s="374"/>
      <c r="E1494" s="253"/>
      <c r="F1494" s="410"/>
      <c r="G1494" s="226"/>
      <c r="H1494" s="253"/>
      <c r="I1494" s="253"/>
      <c r="J1494" s="253"/>
      <c r="K1494" s="253"/>
      <c r="L1494" s="253"/>
      <c r="M1494" s="253"/>
      <c r="N1494" s="253"/>
      <c r="O1494" s="253"/>
      <c r="P1494" s="253"/>
      <c r="Q1494" s="253"/>
      <c r="R1494" s="253"/>
      <c r="S1494" s="253"/>
    </row>
    <row r="1495" spans="1:19" s="2" customFormat="1" x14ac:dyDescent="0.2">
      <c r="A1495" s="374"/>
      <c r="B1495" s="1"/>
      <c r="C1495" s="374"/>
      <c r="D1495" s="374"/>
      <c r="E1495" s="253"/>
      <c r="F1495" s="410"/>
      <c r="G1495" s="226"/>
      <c r="H1495" s="253"/>
      <c r="I1495" s="253"/>
      <c r="J1495" s="253"/>
      <c r="K1495" s="253"/>
      <c r="L1495" s="253"/>
      <c r="M1495" s="253"/>
      <c r="N1495" s="253"/>
      <c r="O1495" s="253"/>
      <c r="P1495" s="253"/>
      <c r="Q1495" s="253"/>
      <c r="R1495" s="253"/>
      <c r="S1495" s="253"/>
    </row>
    <row r="1496" spans="1:19" s="2" customFormat="1" x14ac:dyDescent="0.2">
      <c r="A1496" s="374"/>
      <c r="B1496" s="1"/>
      <c r="C1496" s="374"/>
      <c r="D1496" s="374"/>
      <c r="E1496" s="253"/>
      <c r="F1496" s="410"/>
      <c r="G1496" s="226"/>
      <c r="H1496" s="253"/>
      <c r="I1496" s="253"/>
      <c r="J1496" s="253"/>
      <c r="K1496" s="253"/>
      <c r="L1496" s="253"/>
      <c r="M1496" s="253"/>
      <c r="N1496" s="253"/>
      <c r="O1496" s="253"/>
      <c r="P1496" s="253"/>
      <c r="Q1496" s="253"/>
      <c r="R1496" s="253"/>
      <c r="S1496" s="253"/>
    </row>
    <row r="1497" spans="1:19" s="2" customFormat="1" x14ac:dyDescent="0.2">
      <c r="A1497" s="374"/>
      <c r="B1497" s="1"/>
      <c r="C1497" s="374"/>
      <c r="D1497" s="374"/>
      <c r="E1497" s="253"/>
      <c r="F1497" s="410"/>
      <c r="G1497" s="226"/>
      <c r="H1497" s="253"/>
      <c r="I1497" s="253"/>
      <c r="J1497" s="253"/>
      <c r="K1497" s="253"/>
      <c r="L1497" s="253"/>
      <c r="M1497" s="253"/>
      <c r="N1497" s="253"/>
      <c r="O1497" s="253"/>
      <c r="P1497" s="253"/>
      <c r="Q1497" s="253"/>
      <c r="R1497" s="253"/>
      <c r="S1497" s="253"/>
    </row>
    <row r="1498" spans="1:19" s="2" customFormat="1" x14ac:dyDescent="0.2">
      <c r="A1498" s="374"/>
      <c r="B1498" s="1"/>
      <c r="C1498" s="374"/>
      <c r="D1498" s="374"/>
      <c r="E1498" s="253"/>
      <c r="F1498" s="410"/>
      <c r="G1498" s="226"/>
      <c r="H1498" s="253"/>
      <c r="I1498" s="253"/>
      <c r="J1498" s="253"/>
      <c r="K1498" s="253"/>
      <c r="L1498" s="253"/>
      <c r="M1498" s="253"/>
      <c r="N1498" s="253"/>
      <c r="O1498" s="253"/>
      <c r="P1498" s="253"/>
      <c r="Q1498" s="253"/>
      <c r="R1498" s="253"/>
      <c r="S1498" s="253"/>
    </row>
    <row r="1499" spans="1:19" s="2" customFormat="1" x14ac:dyDescent="0.2">
      <c r="A1499" s="374"/>
      <c r="B1499" s="1"/>
      <c r="C1499" s="374"/>
      <c r="D1499" s="374"/>
      <c r="E1499" s="253"/>
      <c r="F1499" s="410"/>
      <c r="G1499" s="226"/>
      <c r="H1499" s="253"/>
      <c r="I1499" s="253"/>
      <c r="J1499" s="253"/>
      <c r="K1499" s="253"/>
      <c r="L1499" s="253"/>
      <c r="M1499" s="253"/>
      <c r="N1499" s="253"/>
      <c r="O1499" s="253"/>
      <c r="P1499" s="253"/>
      <c r="Q1499" s="253"/>
      <c r="R1499" s="253"/>
      <c r="S1499" s="253"/>
    </row>
    <row r="1500" spans="1:19" s="2" customFormat="1" x14ac:dyDescent="0.2">
      <c r="A1500" s="374"/>
      <c r="B1500" s="1"/>
      <c r="C1500" s="374"/>
      <c r="D1500" s="374"/>
      <c r="E1500" s="253"/>
      <c r="F1500" s="410"/>
      <c r="G1500" s="226"/>
      <c r="H1500" s="253"/>
      <c r="I1500" s="253"/>
      <c r="J1500" s="253"/>
      <c r="K1500" s="253"/>
      <c r="L1500" s="253"/>
      <c r="M1500" s="253"/>
      <c r="N1500" s="253"/>
      <c r="O1500" s="253"/>
      <c r="P1500" s="253"/>
      <c r="Q1500" s="253"/>
      <c r="R1500" s="253"/>
      <c r="S1500" s="253"/>
    </row>
    <row r="1501" spans="1:19" s="2" customFormat="1" x14ac:dyDescent="0.2">
      <c r="A1501" s="374"/>
      <c r="B1501" s="1"/>
      <c r="C1501" s="374"/>
      <c r="D1501" s="374"/>
      <c r="E1501" s="253"/>
      <c r="F1501" s="410"/>
      <c r="G1501" s="226"/>
      <c r="H1501" s="253"/>
      <c r="I1501" s="253"/>
      <c r="J1501" s="253"/>
      <c r="K1501" s="253"/>
      <c r="L1501" s="253"/>
      <c r="M1501" s="253"/>
      <c r="N1501" s="253"/>
      <c r="O1501" s="253"/>
      <c r="P1501" s="253"/>
      <c r="Q1501" s="253"/>
      <c r="R1501" s="253"/>
      <c r="S1501" s="253"/>
    </row>
    <row r="1502" spans="1:19" s="2" customFormat="1" x14ac:dyDescent="0.2">
      <c r="A1502" s="374"/>
      <c r="B1502" s="1"/>
      <c r="C1502" s="374"/>
      <c r="D1502" s="374"/>
      <c r="E1502" s="253"/>
      <c r="F1502" s="410"/>
      <c r="G1502" s="226"/>
      <c r="H1502" s="253"/>
      <c r="I1502" s="253"/>
      <c r="J1502" s="253"/>
      <c r="K1502" s="253"/>
      <c r="L1502" s="253"/>
      <c r="M1502" s="253"/>
      <c r="N1502" s="253"/>
      <c r="O1502" s="253"/>
      <c r="P1502" s="253"/>
      <c r="Q1502" s="253"/>
      <c r="R1502" s="253"/>
      <c r="S1502" s="253"/>
    </row>
    <row r="1503" spans="1:19" s="2" customFormat="1" x14ac:dyDescent="0.2">
      <c r="A1503" s="374"/>
      <c r="B1503" s="1"/>
      <c r="C1503" s="374"/>
      <c r="D1503" s="374"/>
      <c r="E1503" s="253"/>
      <c r="F1503" s="410"/>
      <c r="G1503" s="226"/>
      <c r="H1503" s="253"/>
      <c r="I1503" s="253"/>
      <c r="J1503" s="253"/>
      <c r="K1503" s="253"/>
      <c r="L1503" s="253"/>
      <c r="M1503" s="253"/>
      <c r="N1503" s="253"/>
      <c r="O1503" s="253"/>
      <c r="P1503" s="253"/>
      <c r="Q1503" s="253"/>
      <c r="R1503" s="253"/>
      <c r="S1503" s="253"/>
    </row>
    <row r="1504" spans="1:19" s="2" customFormat="1" x14ac:dyDescent="0.2">
      <c r="A1504" s="374"/>
      <c r="B1504" s="1"/>
      <c r="C1504" s="374"/>
      <c r="D1504" s="374"/>
      <c r="E1504" s="253"/>
      <c r="F1504" s="410"/>
      <c r="G1504" s="226"/>
      <c r="H1504" s="253"/>
      <c r="I1504" s="253"/>
      <c r="J1504" s="253"/>
      <c r="K1504" s="253"/>
      <c r="L1504" s="253"/>
      <c r="M1504" s="253"/>
      <c r="N1504" s="253"/>
      <c r="O1504" s="253"/>
      <c r="P1504" s="253"/>
      <c r="Q1504" s="253"/>
      <c r="R1504" s="253"/>
      <c r="S1504" s="253"/>
    </row>
    <row r="1505" spans="1:19" s="2" customFormat="1" x14ac:dyDescent="0.2">
      <c r="A1505" s="374"/>
      <c r="B1505" s="1"/>
      <c r="C1505" s="374"/>
      <c r="D1505" s="374"/>
      <c r="E1505" s="253"/>
      <c r="F1505" s="410"/>
      <c r="G1505" s="226"/>
      <c r="H1505" s="253"/>
      <c r="I1505" s="253"/>
      <c r="J1505" s="253"/>
      <c r="K1505" s="253"/>
      <c r="L1505" s="253"/>
      <c r="M1505" s="253"/>
      <c r="N1505" s="253"/>
      <c r="O1505" s="253"/>
      <c r="P1505" s="253"/>
      <c r="Q1505" s="253"/>
      <c r="R1505" s="253"/>
      <c r="S1505" s="253"/>
    </row>
    <row r="1506" spans="1:19" s="2" customFormat="1" x14ac:dyDescent="0.2">
      <c r="A1506" s="374"/>
      <c r="B1506" s="1"/>
      <c r="C1506" s="374"/>
      <c r="D1506" s="374"/>
      <c r="E1506" s="253"/>
      <c r="F1506" s="410"/>
      <c r="G1506" s="226"/>
      <c r="H1506" s="253"/>
      <c r="I1506" s="253"/>
      <c r="J1506" s="253"/>
      <c r="K1506" s="253"/>
      <c r="L1506" s="253"/>
      <c r="M1506" s="253"/>
      <c r="N1506" s="253"/>
      <c r="O1506" s="253"/>
      <c r="P1506" s="253"/>
      <c r="Q1506" s="253"/>
      <c r="R1506" s="253"/>
      <c r="S1506" s="253"/>
    </row>
    <row r="1507" spans="1:19" s="2" customFormat="1" x14ac:dyDescent="0.2">
      <c r="A1507" s="374"/>
      <c r="B1507" s="1"/>
      <c r="C1507" s="374"/>
      <c r="D1507" s="374"/>
      <c r="E1507" s="253"/>
      <c r="F1507" s="410"/>
      <c r="G1507" s="226"/>
      <c r="H1507" s="253"/>
      <c r="I1507" s="253"/>
      <c r="J1507" s="253"/>
      <c r="K1507" s="253"/>
      <c r="L1507" s="253"/>
      <c r="M1507" s="253"/>
      <c r="N1507" s="253"/>
      <c r="O1507" s="253"/>
      <c r="P1507" s="253"/>
      <c r="Q1507" s="253"/>
      <c r="R1507" s="253"/>
      <c r="S1507" s="253"/>
    </row>
    <row r="1508" spans="1:19" s="2" customFormat="1" x14ac:dyDescent="0.2">
      <c r="A1508" s="374"/>
      <c r="B1508" s="1"/>
      <c r="C1508" s="374"/>
      <c r="D1508" s="374"/>
      <c r="E1508" s="253"/>
      <c r="F1508" s="410"/>
      <c r="G1508" s="226"/>
      <c r="H1508" s="253"/>
      <c r="I1508" s="253"/>
      <c r="J1508" s="253"/>
      <c r="K1508" s="253"/>
      <c r="L1508" s="253"/>
      <c r="M1508" s="253"/>
      <c r="N1508" s="253"/>
      <c r="O1508" s="253"/>
      <c r="P1508" s="253"/>
      <c r="Q1508" s="253"/>
      <c r="R1508" s="253"/>
      <c r="S1508" s="253"/>
    </row>
    <row r="1509" spans="1:19" s="2" customFormat="1" x14ac:dyDescent="0.2">
      <c r="A1509" s="374"/>
      <c r="B1509" s="1"/>
      <c r="C1509" s="374"/>
      <c r="D1509" s="374"/>
      <c r="E1509" s="253"/>
      <c r="F1509" s="410"/>
      <c r="G1509" s="226"/>
      <c r="H1509" s="253"/>
      <c r="I1509" s="253"/>
      <c r="J1509" s="253"/>
      <c r="K1509" s="253"/>
      <c r="L1509" s="253"/>
      <c r="M1509" s="253"/>
      <c r="N1509" s="253"/>
      <c r="O1509" s="253"/>
      <c r="P1509" s="253"/>
      <c r="Q1509" s="253"/>
      <c r="R1509" s="253"/>
      <c r="S1509" s="253"/>
    </row>
    <row r="1510" spans="1:19" s="2" customFormat="1" x14ac:dyDescent="0.2">
      <c r="A1510" s="374"/>
      <c r="B1510" s="1"/>
      <c r="C1510" s="374"/>
      <c r="D1510" s="374"/>
      <c r="E1510" s="253"/>
      <c r="F1510" s="410"/>
      <c r="G1510" s="226"/>
      <c r="H1510" s="253"/>
      <c r="I1510" s="253"/>
      <c r="J1510" s="253"/>
      <c r="K1510" s="253"/>
      <c r="L1510" s="253"/>
      <c r="M1510" s="253"/>
      <c r="N1510" s="253"/>
      <c r="O1510" s="253"/>
      <c r="P1510" s="253"/>
      <c r="Q1510" s="253"/>
      <c r="R1510" s="253"/>
      <c r="S1510" s="253"/>
    </row>
    <row r="1511" spans="1:19" s="2" customFormat="1" x14ac:dyDescent="0.2">
      <c r="A1511" s="374"/>
      <c r="B1511" s="1"/>
      <c r="C1511" s="374"/>
      <c r="D1511" s="374"/>
      <c r="E1511" s="253"/>
      <c r="F1511" s="410"/>
      <c r="G1511" s="226"/>
      <c r="H1511" s="253"/>
      <c r="I1511" s="253"/>
      <c r="J1511" s="253"/>
      <c r="K1511" s="253"/>
      <c r="L1511" s="253"/>
      <c r="M1511" s="253"/>
      <c r="N1511" s="253"/>
      <c r="O1511" s="253"/>
      <c r="P1511" s="253"/>
      <c r="Q1511" s="253"/>
      <c r="R1511" s="253"/>
      <c r="S1511" s="253"/>
    </row>
    <row r="1512" spans="1:19" s="2" customFormat="1" x14ac:dyDescent="0.2">
      <c r="A1512" s="374"/>
      <c r="B1512" s="1"/>
      <c r="C1512" s="374"/>
      <c r="D1512" s="374"/>
      <c r="E1512" s="253"/>
      <c r="F1512" s="410"/>
      <c r="G1512" s="226"/>
      <c r="H1512" s="253"/>
      <c r="I1512" s="253"/>
      <c r="J1512" s="253"/>
      <c r="K1512" s="253"/>
      <c r="L1512" s="253"/>
      <c r="M1512" s="253"/>
      <c r="N1512" s="253"/>
      <c r="O1512" s="253"/>
      <c r="P1512" s="253"/>
      <c r="Q1512" s="253"/>
      <c r="R1512" s="253"/>
      <c r="S1512" s="253"/>
    </row>
    <row r="1513" spans="1:19" s="2" customFormat="1" x14ac:dyDescent="0.2">
      <c r="A1513" s="374"/>
      <c r="B1513" s="1"/>
      <c r="C1513" s="374"/>
      <c r="D1513" s="374"/>
      <c r="E1513" s="253"/>
      <c r="F1513" s="410"/>
      <c r="G1513" s="226"/>
      <c r="H1513" s="253"/>
      <c r="I1513" s="253"/>
      <c r="J1513" s="253"/>
      <c r="K1513" s="253"/>
      <c r="L1513" s="253"/>
      <c r="M1513" s="253"/>
      <c r="N1513" s="253"/>
      <c r="O1513" s="253"/>
      <c r="P1513" s="253"/>
      <c r="Q1513" s="253"/>
      <c r="R1513" s="253"/>
      <c r="S1513" s="253"/>
    </row>
    <row r="1514" spans="1:19" s="2" customFormat="1" x14ac:dyDescent="0.2">
      <c r="A1514" s="374"/>
      <c r="B1514" s="1"/>
      <c r="C1514" s="374"/>
      <c r="D1514" s="374"/>
      <c r="E1514" s="253"/>
      <c r="F1514" s="410"/>
      <c r="G1514" s="226"/>
      <c r="H1514" s="253"/>
      <c r="I1514" s="253"/>
      <c r="J1514" s="253"/>
      <c r="K1514" s="253"/>
      <c r="L1514" s="253"/>
      <c r="M1514" s="253"/>
      <c r="N1514" s="253"/>
      <c r="O1514" s="253"/>
      <c r="P1514" s="253"/>
      <c r="Q1514" s="253"/>
      <c r="R1514" s="253"/>
      <c r="S1514" s="253"/>
    </row>
    <row r="1515" spans="1:19" s="2" customFormat="1" x14ac:dyDescent="0.2">
      <c r="A1515" s="374"/>
      <c r="B1515" s="1"/>
      <c r="C1515" s="374"/>
      <c r="D1515" s="374"/>
      <c r="E1515" s="253"/>
      <c r="F1515" s="410"/>
      <c r="G1515" s="226"/>
      <c r="H1515" s="253"/>
      <c r="I1515" s="253"/>
      <c r="J1515" s="253"/>
      <c r="K1515" s="253"/>
      <c r="L1515" s="253"/>
      <c r="M1515" s="253"/>
      <c r="N1515" s="253"/>
      <c r="O1515" s="253"/>
      <c r="P1515" s="253"/>
      <c r="Q1515" s="253"/>
      <c r="R1515" s="253"/>
      <c r="S1515" s="253"/>
    </row>
    <row r="1516" spans="1:19" s="2" customFormat="1" x14ac:dyDescent="0.2">
      <c r="A1516" s="374"/>
      <c r="B1516" s="1"/>
      <c r="C1516" s="374"/>
      <c r="D1516" s="374"/>
      <c r="E1516" s="253"/>
      <c r="F1516" s="410"/>
      <c r="G1516" s="226"/>
      <c r="H1516" s="253"/>
      <c r="I1516" s="253"/>
      <c r="J1516" s="253"/>
      <c r="K1516" s="253"/>
      <c r="L1516" s="253"/>
      <c r="M1516" s="253"/>
      <c r="N1516" s="253"/>
      <c r="O1516" s="253"/>
      <c r="P1516" s="253"/>
      <c r="Q1516" s="253"/>
      <c r="R1516" s="253"/>
      <c r="S1516" s="253"/>
    </row>
    <row r="1517" spans="1:19" s="2" customFormat="1" x14ac:dyDescent="0.2">
      <c r="A1517" s="374"/>
      <c r="B1517" s="1"/>
      <c r="C1517" s="374"/>
      <c r="D1517" s="374"/>
      <c r="E1517" s="253"/>
      <c r="F1517" s="410"/>
      <c r="G1517" s="226"/>
      <c r="H1517" s="253"/>
      <c r="I1517" s="253"/>
      <c r="J1517" s="253"/>
      <c r="K1517" s="253"/>
      <c r="L1517" s="253"/>
      <c r="M1517" s="253"/>
      <c r="N1517" s="253"/>
      <c r="O1517" s="253"/>
      <c r="P1517" s="253"/>
      <c r="Q1517" s="253"/>
      <c r="R1517" s="253"/>
      <c r="S1517" s="253"/>
    </row>
    <row r="1518" spans="1:19" s="2" customFormat="1" x14ac:dyDescent="0.2">
      <c r="A1518" s="374"/>
      <c r="B1518" s="1"/>
      <c r="C1518" s="374"/>
      <c r="D1518" s="374"/>
      <c r="E1518" s="253"/>
      <c r="F1518" s="410"/>
      <c r="G1518" s="226"/>
      <c r="H1518" s="253"/>
      <c r="I1518" s="253"/>
      <c r="J1518" s="253"/>
      <c r="K1518" s="253"/>
      <c r="L1518" s="253"/>
      <c r="M1518" s="253"/>
      <c r="N1518" s="253"/>
      <c r="O1518" s="253"/>
      <c r="P1518" s="253"/>
      <c r="Q1518" s="253"/>
      <c r="R1518" s="253"/>
      <c r="S1518" s="253"/>
    </row>
    <row r="1519" spans="1:19" s="2" customFormat="1" x14ac:dyDescent="0.2">
      <c r="A1519" s="374"/>
      <c r="B1519" s="1"/>
      <c r="C1519" s="374"/>
      <c r="D1519" s="374"/>
      <c r="E1519" s="253"/>
      <c r="F1519" s="410"/>
      <c r="G1519" s="226"/>
      <c r="H1519" s="253"/>
      <c r="I1519" s="253"/>
      <c r="J1519" s="253"/>
      <c r="K1519" s="253"/>
      <c r="L1519" s="253"/>
      <c r="M1519" s="253"/>
      <c r="N1519" s="253"/>
      <c r="O1519" s="253"/>
      <c r="P1519" s="253"/>
      <c r="Q1519" s="253"/>
      <c r="R1519" s="253"/>
      <c r="S1519" s="253"/>
    </row>
    <row r="1520" spans="1:19" s="2" customFormat="1" x14ac:dyDescent="0.2">
      <c r="A1520" s="374"/>
      <c r="B1520" s="1"/>
      <c r="C1520" s="374"/>
      <c r="D1520" s="374"/>
      <c r="E1520" s="253"/>
      <c r="F1520" s="410"/>
      <c r="G1520" s="226"/>
      <c r="H1520" s="253"/>
      <c r="I1520" s="253"/>
      <c r="J1520" s="253"/>
      <c r="K1520" s="253"/>
      <c r="L1520" s="253"/>
      <c r="M1520" s="253"/>
      <c r="N1520" s="253"/>
      <c r="O1520" s="253"/>
      <c r="P1520" s="253"/>
      <c r="Q1520" s="253"/>
      <c r="R1520" s="253"/>
      <c r="S1520" s="253"/>
    </row>
    <row r="1521" spans="1:19" s="2" customFormat="1" x14ac:dyDescent="0.2">
      <c r="A1521" s="374"/>
      <c r="B1521" s="1"/>
      <c r="C1521" s="374"/>
      <c r="D1521" s="374"/>
      <c r="E1521" s="253"/>
      <c r="F1521" s="410"/>
      <c r="G1521" s="226"/>
      <c r="H1521" s="253"/>
      <c r="I1521" s="253"/>
      <c r="J1521" s="253"/>
      <c r="K1521" s="253"/>
      <c r="L1521" s="253"/>
      <c r="M1521" s="253"/>
      <c r="N1521" s="253"/>
      <c r="O1521" s="253"/>
      <c r="P1521" s="253"/>
      <c r="Q1521" s="253"/>
      <c r="R1521" s="253"/>
      <c r="S1521" s="253"/>
    </row>
    <row r="1522" spans="1:19" s="2" customFormat="1" x14ac:dyDescent="0.2">
      <c r="A1522" s="374"/>
      <c r="B1522" s="1"/>
      <c r="C1522" s="374"/>
      <c r="D1522" s="374"/>
      <c r="E1522" s="253"/>
      <c r="F1522" s="410"/>
      <c r="G1522" s="226"/>
      <c r="H1522" s="253"/>
      <c r="I1522" s="253"/>
      <c r="J1522" s="253"/>
      <c r="K1522" s="253"/>
      <c r="L1522" s="253"/>
      <c r="M1522" s="253"/>
      <c r="N1522" s="253"/>
      <c r="O1522" s="253"/>
      <c r="P1522" s="253"/>
      <c r="Q1522" s="253"/>
      <c r="R1522" s="253"/>
      <c r="S1522" s="253"/>
    </row>
    <row r="1523" spans="1:19" s="2" customFormat="1" x14ac:dyDescent="0.2">
      <c r="A1523" s="374"/>
      <c r="B1523" s="1"/>
      <c r="C1523" s="374"/>
      <c r="D1523" s="374"/>
      <c r="E1523" s="253"/>
      <c r="F1523" s="410"/>
      <c r="G1523" s="226"/>
      <c r="H1523" s="253"/>
      <c r="I1523" s="253"/>
      <c r="J1523" s="253"/>
      <c r="K1523" s="253"/>
      <c r="L1523" s="253"/>
      <c r="M1523" s="253"/>
      <c r="N1523" s="253"/>
      <c r="O1523" s="253"/>
      <c r="P1523" s="253"/>
      <c r="Q1523" s="253"/>
      <c r="R1523" s="253"/>
      <c r="S1523" s="253"/>
    </row>
    <row r="1524" spans="1:19" s="2" customFormat="1" x14ac:dyDescent="0.2">
      <c r="A1524" s="374"/>
      <c r="B1524" s="1"/>
      <c r="C1524" s="374"/>
      <c r="D1524" s="374"/>
      <c r="E1524" s="253"/>
      <c r="F1524" s="410"/>
      <c r="G1524" s="226"/>
      <c r="H1524" s="253"/>
      <c r="I1524" s="253"/>
      <c r="J1524" s="253"/>
      <c r="K1524" s="253"/>
      <c r="L1524" s="253"/>
      <c r="M1524" s="253"/>
      <c r="N1524" s="253"/>
      <c r="O1524" s="253"/>
      <c r="P1524" s="253"/>
      <c r="Q1524" s="253"/>
      <c r="R1524" s="253"/>
      <c r="S1524" s="253"/>
    </row>
    <row r="1525" spans="1:19" s="2" customFormat="1" x14ac:dyDescent="0.2">
      <c r="A1525" s="374"/>
      <c r="B1525" s="1"/>
      <c r="C1525" s="374"/>
      <c r="D1525" s="374"/>
      <c r="E1525" s="253"/>
      <c r="F1525" s="410"/>
      <c r="G1525" s="226"/>
      <c r="H1525" s="253"/>
      <c r="I1525" s="253"/>
      <c r="J1525" s="253"/>
      <c r="K1525" s="253"/>
      <c r="L1525" s="253"/>
      <c r="M1525" s="253"/>
      <c r="N1525" s="253"/>
      <c r="O1525" s="253"/>
      <c r="P1525" s="253"/>
      <c r="Q1525" s="253"/>
      <c r="R1525" s="253"/>
      <c r="S1525" s="253"/>
    </row>
    <row r="1526" spans="1:19" s="2" customFormat="1" x14ac:dyDescent="0.2">
      <c r="A1526" s="374"/>
      <c r="B1526" s="1"/>
      <c r="C1526" s="374"/>
      <c r="D1526" s="374"/>
      <c r="E1526" s="253"/>
      <c r="F1526" s="410"/>
      <c r="G1526" s="226"/>
      <c r="H1526" s="253"/>
      <c r="I1526" s="253"/>
      <c r="J1526" s="253"/>
      <c r="K1526" s="253"/>
      <c r="L1526" s="253"/>
      <c r="M1526" s="253"/>
      <c r="N1526" s="253"/>
      <c r="O1526" s="253"/>
      <c r="P1526" s="253"/>
      <c r="Q1526" s="253"/>
      <c r="R1526" s="253"/>
      <c r="S1526" s="253"/>
    </row>
    <row r="1527" spans="1:19" s="2" customFormat="1" x14ac:dyDescent="0.2">
      <c r="A1527" s="374"/>
      <c r="B1527" s="1"/>
      <c r="C1527" s="374"/>
      <c r="D1527" s="374"/>
      <c r="E1527" s="253"/>
      <c r="F1527" s="410"/>
      <c r="G1527" s="226"/>
      <c r="H1527" s="253"/>
      <c r="I1527" s="253"/>
      <c r="J1527" s="253"/>
      <c r="K1527" s="253"/>
      <c r="L1527" s="253"/>
      <c r="M1527" s="253"/>
      <c r="N1527" s="253"/>
      <c r="O1527" s="253"/>
      <c r="P1527" s="253"/>
      <c r="Q1527" s="253"/>
      <c r="R1527" s="253"/>
      <c r="S1527" s="253"/>
    </row>
    <row r="1528" spans="1:19" s="2" customFormat="1" x14ac:dyDescent="0.2">
      <c r="A1528" s="374"/>
      <c r="B1528" s="1"/>
      <c r="C1528" s="374"/>
      <c r="D1528" s="374"/>
      <c r="E1528" s="253"/>
      <c r="F1528" s="410"/>
      <c r="G1528" s="226"/>
      <c r="H1528" s="253"/>
      <c r="I1528" s="253"/>
      <c r="J1528" s="253"/>
      <c r="K1528" s="253"/>
      <c r="L1528" s="253"/>
      <c r="M1528" s="253"/>
      <c r="N1528" s="253"/>
      <c r="O1528" s="253"/>
      <c r="P1528" s="253"/>
      <c r="Q1528" s="253"/>
      <c r="R1528" s="253"/>
      <c r="S1528" s="253"/>
    </row>
    <row r="1529" spans="1:19" s="2" customFormat="1" x14ac:dyDescent="0.2">
      <c r="A1529" s="374"/>
      <c r="B1529" s="1"/>
      <c r="C1529" s="374"/>
      <c r="D1529" s="374"/>
      <c r="E1529" s="253"/>
      <c r="F1529" s="410"/>
      <c r="G1529" s="226"/>
      <c r="H1529" s="253"/>
      <c r="I1529" s="253"/>
      <c r="J1529" s="253"/>
      <c r="K1529" s="253"/>
      <c r="L1529" s="253"/>
      <c r="M1529" s="253"/>
      <c r="N1529" s="253"/>
      <c r="O1529" s="253"/>
      <c r="P1529" s="253"/>
      <c r="Q1529" s="253"/>
      <c r="R1529" s="253"/>
      <c r="S1529" s="253"/>
    </row>
    <row r="1530" spans="1:19" s="2" customFormat="1" x14ac:dyDescent="0.2">
      <c r="A1530" s="374"/>
      <c r="B1530" s="1"/>
      <c r="C1530" s="374"/>
      <c r="D1530" s="374"/>
      <c r="E1530" s="253"/>
      <c r="F1530" s="410"/>
      <c r="G1530" s="226"/>
      <c r="H1530" s="253"/>
      <c r="I1530" s="253"/>
      <c r="J1530" s="253"/>
      <c r="K1530" s="253"/>
      <c r="L1530" s="253"/>
      <c r="M1530" s="253"/>
      <c r="N1530" s="253"/>
      <c r="O1530" s="253"/>
      <c r="P1530" s="253"/>
      <c r="Q1530" s="253"/>
      <c r="R1530" s="253"/>
      <c r="S1530" s="253"/>
    </row>
    <row r="1531" spans="1:19" s="2" customFormat="1" x14ac:dyDescent="0.2">
      <c r="A1531" s="374"/>
      <c r="B1531" s="1"/>
      <c r="C1531" s="374"/>
      <c r="D1531" s="374"/>
      <c r="E1531" s="253"/>
      <c r="F1531" s="410"/>
      <c r="G1531" s="226"/>
      <c r="H1531" s="253"/>
      <c r="I1531" s="253"/>
      <c r="J1531" s="253"/>
      <c r="K1531" s="253"/>
      <c r="L1531" s="253"/>
      <c r="M1531" s="253"/>
      <c r="N1531" s="253"/>
      <c r="O1531" s="253"/>
      <c r="P1531" s="253"/>
      <c r="Q1531" s="253"/>
      <c r="R1531" s="253"/>
      <c r="S1531" s="253"/>
    </row>
    <row r="1532" spans="1:19" s="2" customFormat="1" x14ac:dyDescent="0.2">
      <c r="A1532" s="374"/>
      <c r="B1532" s="1"/>
      <c r="C1532" s="374"/>
      <c r="D1532" s="374"/>
      <c r="E1532" s="253"/>
      <c r="F1532" s="410"/>
      <c r="G1532" s="226"/>
      <c r="H1532" s="253"/>
      <c r="I1532" s="253"/>
      <c r="J1532" s="253"/>
      <c r="K1532" s="253"/>
      <c r="L1532" s="253"/>
      <c r="M1532" s="253"/>
      <c r="N1532" s="253"/>
      <c r="O1532" s="253"/>
      <c r="P1532" s="253"/>
      <c r="Q1532" s="253"/>
      <c r="R1532" s="253"/>
      <c r="S1532" s="253"/>
    </row>
    <row r="1533" spans="1:19" s="2" customFormat="1" x14ac:dyDescent="0.2">
      <c r="A1533" s="374"/>
      <c r="B1533" s="1"/>
      <c r="C1533" s="374"/>
      <c r="D1533" s="374"/>
      <c r="E1533" s="253"/>
      <c r="F1533" s="410"/>
      <c r="G1533" s="226"/>
      <c r="H1533" s="253"/>
      <c r="I1533" s="253"/>
      <c r="J1533" s="253"/>
      <c r="K1533" s="253"/>
      <c r="L1533" s="253"/>
      <c r="M1533" s="253"/>
      <c r="N1533" s="253"/>
      <c r="O1533" s="253"/>
      <c r="P1533" s="253"/>
      <c r="Q1533" s="253"/>
      <c r="R1533" s="253"/>
      <c r="S1533" s="253"/>
    </row>
    <row r="1534" spans="1:19" s="2" customFormat="1" x14ac:dyDescent="0.2">
      <c r="A1534" s="374"/>
      <c r="B1534" s="1"/>
      <c r="C1534" s="374"/>
      <c r="D1534" s="374"/>
      <c r="E1534" s="253"/>
      <c r="F1534" s="410"/>
      <c r="G1534" s="226"/>
      <c r="H1534" s="253"/>
      <c r="I1534" s="253"/>
      <c r="J1534" s="253"/>
      <c r="K1534" s="253"/>
      <c r="L1534" s="253"/>
      <c r="M1534" s="253"/>
      <c r="N1534" s="253"/>
      <c r="O1534" s="253"/>
      <c r="P1534" s="253"/>
      <c r="Q1534" s="253"/>
      <c r="R1534" s="253"/>
      <c r="S1534" s="253"/>
    </row>
    <row r="1535" spans="1:19" s="2" customFormat="1" x14ac:dyDescent="0.2">
      <c r="A1535" s="374"/>
      <c r="B1535" s="1"/>
      <c r="C1535" s="374"/>
      <c r="D1535" s="374"/>
      <c r="E1535" s="253"/>
      <c r="F1535" s="410"/>
      <c r="G1535" s="226"/>
      <c r="H1535" s="253"/>
      <c r="I1535" s="253"/>
      <c r="J1535" s="253"/>
      <c r="K1535" s="253"/>
      <c r="L1535" s="253"/>
      <c r="M1535" s="253"/>
      <c r="N1535" s="253"/>
      <c r="O1535" s="253"/>
      <c r="P1535" s="253"/>
      <c r="Q1535" s="253"/>
      <c r="R1535" s="253"/>
      <c r="S1535" s="253"/>
    </row>
    <row r="1536" spans="1:19" s="2" customFormat="1" x14ac:dyDescent="0.2">
      <c r="A1536" s="374"/>
      <c r="B1536" s="1"/>
      <c r="C1536" s="374"/>
      <c r="D1536" s="374"/>
      <c r="E1536" s="253"/>
      <c r="F1536" s="410"/>
      <c r="G1536" s="226"/>
      <c r="H1536" s="253"/>
      <c r="I1536" s="253"/>
      <c r="J1536" s="253"/>
      <c r="K1536" s="253"/>
      <c r="L1536" s="253"/>
      <c r="M1536" s="253"/>
      <c r="N1536" s="253"/>
      <c r="O1536" s="253"/>
      <c r="P1536" s="253"/>
      <c r="Q1536" s="253"/>
      <c r="R1536" s="253"/>
      <c r="S1536" s="253"/>
    </row>
    <row r="1537" spans="1:19" s="2" customFormat="1" x14ac:dyDescent="0.2">
      <c r="A1537" s="374"/>
      <c r="B1537" s="1"/>
      <c r="C1537" s="374"/>
      <c r="D1537" s="374"/>
      <c r="E1537" s="253"/>
      <c r="F1537" s="410"/>
      <c r="G1537" s="226"/>
      <c r="H1537" s="253"/>
      <c r="I1537" s="253"/>
      <c r="J1537" s="253"/>
      <c r="K1537" s="253"/>
      <c r="L1537" s="253"/>
      <c r="M1537" s="253"/>
      <c r="N1537" s="253"/>
      <c r="O1537" s="253"/>
      <c r="P1537" s="253"/>
      <c r="Q1537" s="253"/>
      <c r="R1537" s="253"/>
      <c r="S1537" s="253"/>
    </row>
    <row r="1538" spans="1:19" s="2" customFormat="1" x14ac:dyDescent="0.2">
      <c r="A1538" s="374"/>
      <c r="B1538" s="1"/>
      <c r="C1538" s="374"/>
      <c r="D1538" s="374"/>
      <c r="E1538" s="253"/>
      <c r="F1538" s="410"/>
      <c r="G1538" s="226"/>
      <c r="H1538" s="253"/>
      <c r="I1538" s="253"/>
      <c r="J1538" s="253"/>
      <c r="K1538" s="253"/>
      <c r="L1538" s="253"/>
      <c r="M1538" s="253"/>
      <c r="N1538" s="253"/>
      <c r="O1538" s="253"/>
      <c r="P1538" s="253"/>
      <c r="Q1538" s="253"/>
      <c r="R1538" s="253"/>
      <c r="S1538" s="253"/>
    </row>
    <row r="1539" spans="1:19" s="2" customFormat="1" x14ac:dyDescent="0.2">
      <c r="A1539" s="374"/>
      <c r="B1539" s="1"/>
      <c r="C1539" s="374"/>
      <c r="D1539" s="374"/>
      <c r="E1539" s="253"/>
      <c r="F1539" s="410"/>
      <c r="G1539" s="226"/>
      <c r="H1539" s="253"/>
      <c r="I1539" s="253"/>
      <c r="J1539" s="253"/>
      <c r="K1539" s="253"/>
      <c r="L1539" s="253"/>
      <c r="M1539" s="253"/>
      <c r="N1539" s="253"/>
      <c r="O1539" s="253"/>
      <c r="P1539" s="253"/>
      <c r="Q1539" s="253"/>
      <c r="R1539" s="253"/>
      <c r="S1539" s="253"/>
    </row>
    <row r="1540" spans="1:19" s="2" customFormat="1" x14ac:dyDescent="0.2">
      <c r="A1540" s="374"/>
      <c r="B1540" s="1"/>
      <c r="C1540" s="374"/>
      <c r="D1540" s="374"/>
      <c r="E1540" s="253"/>
      <c r="F1540" s="410"/>
      <c r="G1540" s="226"/>
      <c r="H1540" s="253"/>
      <c r="I1540" s="253"/>
      <c r="J1540" s="253"/>
      <c r="K1540" s="253"/>
      <c r="L1540" s="253"/>
      <c r="M1540" s="253"/>
      <c r="N1540" s="253"/>
      <c r="O1540" s="253"/>
      <c r="P1540" s="253"/>
      <c r="Q1540" s="253"/>
      <c r="R1540" s="253"/>
      <c r="S1540" s="253"/>
    </row>
    <row r="1541" spans="1:19" s="2" customFormat="1" x14ac:dyDescent="0.2">
      <c r="A1541" s="374"/>
      <c r="B1541" s="1"/>
      <c r="C1541" s="374"/>
      <c r="D1541" s="374"/>
      <c r="E1541" s="253"/>
      <c r="F1541" s="410"/>
      <c r="G1541" s="226"/>
      <c r="H1541" s="253"/>
      <c r="I1541" s="253"/>
      <c r="J1541" s="253"/>
      <c r="K1541" s="253"/>
      <c r="L1541" s="253"/>
      <c r="M1541" s="253"/>
      <c r="N1541" s="253"/>
      <c r="O1541" s="253"/>
      <c r="P1541" s="253"/>
      <c r="Q1541" s="253"/>
      <c r="R1541" s="253"/>
      <c r="S1541" s="253"/>
    </row>
    <row r="1542" spans="1:19" s="2" customFormat="1" x14ac:dyDescent="0.2">
      <c r="A1542" s="374"/>
      <c r="B1542" s="1"/>
      <c r="C1542" s="374"/>
      <c r="D1542" s="374"/>
      <c r="E1542" s="253"/>
      <c r="F1542" s="410"/>
      <c r="G1542" s="226"/>
      <c r="H1542" s="253"/>
      <c r="I1542" s="253"/>
      <c r="J1542" s="253"/>
      <c r="K1542" s="253"/>
      <c r="L1542" s="253"/>
      <c r="M1542" s="253"/>
      <c r="N1542" s="253"/>
      <c r="O1542" s="253"/>
      <c r="P1542" s="253"/>
      <c r="Q1542" s="253"/>
      <c r="R1542" s="253"/>
      <c r="S1542" s="253"/>
    </row>
    <row r="1543" spans="1:19" s="2" customFormat="1" x14ac:dyDescent="0.2">
      <c r="A1543" s="374"/>
      <c r="B1543" s="1"/>
      <c r="C1543" s="374"/>
      <c r="D1543" s="374"/>
      <c r="E1543" s="253"/>
      <c r="F1543" s="410"/>
      <c r="G1543" s="226"/>
      <c r="H1543" s="253"/>
      <c r="I1543" s="253"/>
      <c r="J1543" s="253"/>
      <c r="K1543" s="253"/>
      <c r="L1543" s="253"/>
      <c r="M1543" s="253"/>
      <c r="N1543" s="253"/>
      <c r="O1543" s="253"/>
      <c r="P1543" s="253"/>
      <c r="Q1543" s="253"/>
      <c r="R1543" s="253"/>
      <c r="S1543" s="253"/>
    </row>
    <row r="1544" spans="1:19" s="2" customFormat="1" x14ac:dyDescent="0.2">
      <c r="A1544" s="374"/>
      <c r="B1544" s="1"/>
      <c r="C1544" s="374"/>
      <c r="D1544" s="374"/>
      <c r="E1544" s="253"/>
      <c r="F1544" s="410"/>
      <c r="G1544" s="226"/>
      <c r="H1544" s="253"/>
      <c r="I1544" s="253"/>
      <c r="J1544" s="253"/>
      <c r="K1544" s="253"/>
      <c r="L1544" s="253"/>
      <c r="M1544" s="253"/>
      <c r="N1544" s="253"/>
      <c r="O1544" s="253"/>
      <c r="P1544" s="253"/>
      <c r="Q1544" s="253"/>
      <c r="R1544" s="253"/>
      <c r="S1544" s="253"/>
    </row>
    <row r="1545" spans="1:19" s="2" customFormat="1" x14ac:dyDescent="0.2">
      <c r="A1545" s="374"/>
      <c r="B1545" s="1"/>
      <c r="C1545" s="374"/>
      <c r="D1545" s="374"/>
      <c r="E1545" s="253"/>
      <c r="F1545" s="410"/>
      <c r="G1545" s="226"/>
      <c r="H1545" s="253"/>
      <c r="I1545" s="253"/>
      <c r="J1545" s="253"/>
      <c r="K1545" s="253"/>
      <c r="L1545" s="253"/>
      <c r="M1545" s="253"/>
      <c r="N1545" s="253"/>
      <c r="O1545" s="253"/>
      <c r="P1545" s="253"/>
      <c r="Q1545" s="253"/>
      <c r="R1545" s="253"/>
      <c r="S1545" s="253"/>
    </row>
    <row r="1546" spans="1:19" s="2" customFormat="1" x14ac:dyDescent="0.2">
      <c r="A1546" s="374"/>
      <c r="B1546" s="1"/>
      <c r="C1546" s="374"/>
      <c r="D1546" s="374"/>
      <c r="E1546" s="253"/>
      <c r="F1546" s="410"/>
      <c r="G1546" s="226"/>
      <c r="H1546" s="253"/>
      <c r="I1546" s="253"/>
      <c r="J1546" s="253"/>
      <c r="K1546" s="253"/>
      <c r="L1546" s="253"/>
      <c r="M1546" s="253"/>
      <c r="N1546" s="253"/>
      <c r="O1546" s="253"/>
      <c r="P1546" s="253"/>
      <c r="Q1546" s="253"/>
      <c r="R1546" s="253"/>
      <c r="S1546" s="253"/>
    </row>
    <row r="1547" spans="1:19" s="2" customFormat="1" x14ac:dyDescent="0.2">
      <c r="A1547" s="374"/>
      <c r="B1547" s="1"/>
      <c r="C1547" s="374"/>
      <c r="D1547" s="374"/>
      <c r="E1547" s="253"/>
      <c r="F1547" s="410"/>
      <c r="G1547" s="226"/>
      <c r="H1547" s="253"/>
      <c r="I1547" s="253"/>
      <c r="J1547" s="253"/>
      <c r="K1547" s="253"/>
      <c r="L1547" s="253"/>
      <c r="M1547" s="253"/>
      <c r="N1547" s="253"/>
      <c r="O1547" s="253"/>
      <c r="P1547" s="253"/>
      <c r="Q1547" s="253"/>
      <c r="R1547" s="253"/>
      <c r="S1547" s="253"/>
    </row>
    <row r="1548" spans="1:19" s="2" customFormat="1" x14ac:dyDescent="0.2">
      <c r="A1548" s="374"/>
      <c r="B1548" s="1"/>
      <c r="C1548" s="374"/>
      <c r="D1548" s="374"/>
      <c r="E1548" s="253"/>
      <c r="F1548" s="410"/>
      <c r="G1548" s="226"/>
      <c r="H1548" s="253"/>
      <c r="I1548" s="253"/>
      <c r="J1548" s="253"/>
      <c r="K1548" s="253"/>
      <c r="L1548" s="253"/>
      <c r="M1548" s="253"/>
      <c r="N1548" s="253"/>
      <c r="O1548" s="253"/>
      <c r="P1548" s="253"/>
      <c r="Q1548" s="253"/>
      <c r="R1548" s="253"/>
      <c r="S1548" s="253"/>
    </row>
    <row r="1549" spans="1:19" s="2" customFormat="1" x14ac:dyDescent="0.2">
      <c r="A1549" s="374"/>
      <c r="B1549" s="1"/>
      <c r="C1549" s="374"/>
      <c r="D1549" s="374"/>
      <c r="E1549" s="253"/>
      <c r="F1549" s="410"/>
      <c r="G1549" s="226"/>
      <c r="H1549" s="253"/>
      <c r="I1549" s="253"/>
      <c r="J1549" s="253"/>
      <c r="K1549" s="253"/>
      <c r="L1549" s="253"/>
      <c r="M1549" s="253"/>
      <c r="N1549" s="253"/>
      <c r="O1549" s="253"/>
      <c r="P1549" s="253"/>
      <c r="Q1549" s="253"/>
      <c r="R1549" s="253"/>
      <c r="S1549" s="253"/>
    </row>
    <row r="1550" spans="1:19" s="2" customFormat="1" x14ac:dyDescent="0.2">
      <c r="A1550" s="374"/>
      <c r="B1550" s="1"/>
      <c r="C1550" s="374"/>
      <c r="D1550" s="374"/>
      <c r="E1550" s="253"/>
      <c r="F1550" s="410"/>
      <c r="G1550" s="226"/>
      <c r="H1550" s="253"/>
      <c r="I1550" s="253"/>
      <c r="J1550" s="253"/>
      <c r="K1550" s="253"/>
      <c r="L1550" s="253"/>
      <c r="M1550" s="253"/>
      <c r="N1550" s="253"/>
      <c r="O1550" s="253"/>
      <c r="P1550" s="253"/>
      <c r="Q1550" s="253"/>
      <c r="R1550" s="253"/>
      <c r="S1550" s="253"/>
    </row>
    <row r="1551" spans="1:19" s="2" customFormat="1" x14ac:dyDescent="0.2">
      <c r="A1551" s="374"/>
      <c r="B1551" s="1"/>
      <c r="C1551" s="374"/>
      <c r="D1551" s="374"/>
      <c r="E1551" s="253"/>
      <c r="F1551" s="410"/>
      <c r="G1551" s="226"/>
      <c r="H1551" s="253"/>
      <c r="I1551" s="253"/>
      <c r="J1551" s="253"/>
      <c r="K1551" s="253"/>
      <c r="L1551" s="253"/>
      <c r="M1551" s="253"/>
      <c r="N1551" s="253"/>
      <c r="O1551" s="253"/>
      <c r="P1551" s="253"/>
      <c r="Q1551" s="253"/>
      <c r="R1551" s="253"/>
      <c r="S1551" s="253"/>
    </row>
    <row r="1552" spans="1:19" s="2" customFormat="1" x14ac:dyDescent="0.2">
      <c r="A1552" s="374"/>
      <c r="B1552" s="1"/>
      <c r="C1552" s="374"/>
      <c r="D1552" s="374"/>
      <c r="E1552" s="253"/>
      <c r="F1552" s="410"/>
      <c r="G1552" s="226"/>
      <c r="H1552" s="253"/>
      <c r="I1552" s="253"/>
      <c r="J1552" s="253"/>
      <c r="K1552" s="253"/>
      <c r="L1552" s="253"/>
      <c r="M1552" s="253"/>
      <c r="N1552" s="253"/>
      <c r="O1552" s="253"/>
      <c r="P1552" s="253"/>
      <c r="Q1552" s="253"/>
      <c r="R1552" s="253"/>
      <c r="S1552" s="253"/>
    </row>
    <row r="1553" spans="1:19" s="2" customFormat="1" x14ac:dyDescent="0.2">
      <c r="A1553" s="374"/>
      <c r="B1553" s="1"/>
      <c r="C1553" s="374"/>
      <c r="D1553" s="374"/>
      <c r="E1553" s="253"/>
      <c r="F1553" s="410"/>
      <c r="G1553" s="226"/>
      <c r="H1553" s="253"/>
      <c r="I1553" s="253"/>
      <c r="J1553" s="253"/>
      <c r="K1553" s="253"/>
      <c r="L1553" s="253"/>
      <c r="M1553" s="253"/>
      <c r="N1553" s="253"/>
      <c r="O1553" s="253"/>
      <c r="P1553" s="253"/>
      <c r="Q1553" s="253"/>
      <c r="R1553" s="253"/>
      <c r="S1553" s="253"/>
    </row>
    <row r="1554" spans="1:19" s="2" customFormat="1" x14ac:dyDescent="0.2">
      <c r="A1554" s="374"/>
      <c r="B1554" s="1"/>
      <c r="C1554" s="374"/>
      <c r="D1554" s="374"/>
      <c r="E1554" s="253"/>
      <c r="F1554" s="410"/>
      <c r="G1554" s="226"/>
      <c r="H1554" s="253"/>
      <c r="I1554" s="253"/>
      <c r="J1554" s="253"/>
      <c r="K1554" s="253"/>
      <c r="L1554" s="253"/>
      <c r="M1554" s="253"/>
      <c r="N1554" s="253"/>
      <c r="O1554" s="253"/>
      <c r="P1554" s="253"/>
      <c r="Q1554" s="253"/>
      <c r="R1554" s="253"/>
      <c r="S1554" s="253"/>
    </row>
    <row r="1555" spans="1:19" s="2" customFormat="1" x14ac:dyDescent="0.2">
      <c r="A1555" s="374"/>
      <c r="B1555" s="1"/>
      <c r="C1555" s="374"/>
      <c r="D1555" s="374"/>
      <c r="E1555" s="253"/>
      <c r="F1555" s="410"/>
      <c r="G1555" s="226"/>
      <c r="H1555" s="253"/>
      <c r="I1555" s="253"/>
      <c r="J1555" s="253"/>
      <c r="K1555" s="253"/>
      <c r="L1555" s="253"/>
      <c r="M1555" s="253"/>
      <c r="N1555" s="253"/>
      <c r="O1555" s="253"/>
      <c r="P1555" s="253"/>
      <c r="Q1555" s="253"/>
      <c r="R1555" s="253"/>
      <c r="S1555" s="253"/>
    </row>
    <row r="1556" spans="1:19" s="2" customFormat="1" x14ac:dyDescent="0.2">
      <c r="A1556" s="374"/>
      <c r="B1556" s="1"/>
      <c r="C1556" s="374"/>
      <c r="D1556" s="374"/>
      <c r="E1556" s="253"/>
      <c r="F1556" s="410"/>
      <c r="G1556" s="226"/>
      <c r="H1556" s="253"/>
      <c r="I1556" s="253"/>
      <c r="J1556" s="253"/>
      <c r="K1556" s="253"/>
      <c r="L1556" s="253"/>
      <c r="M1556" s="253"/>
      <c r="N1556" s="253"/>
      <c r="O1556" s="253"/>
      <c r="P1556" s="253"/>
      <c r="Q1556" s="253"/>
      <c r="R1556" s="253"/>
      <c r="S1556" s="253"/>
    </row>
    <row r="1557" spans="1:19" s="2" customFormat="1" x14ac:dyDescent="0.2">
      <c r="A1557" s="374"/>
      <c r="B1557" s="1"/>
      <c r="C1557" s="374"/>
      <c r="D1557" s="374"/>
      <c r="E1557" s="253"/>
      <c r="F1557" s="410"/>
      <c r="G1557" s="226"/>
      <c r="H1557" s="253"/>
      <c r="I1557" s="253"/>
      <c r="J1557" s="253"/>
      <c r="K1557" s="253"/>
      <c r="L1557" s="253"/>
      <c r="M1557" s="253"/>
      <c r="N1557" s="253"/>
      <c r="O1557" s="253"/>
      <c r="P1557" s="253"/>
      <c r="Q1557" s="253"/>
      <c r="R1557" s="253"/>
      <c r="S1557" s="253"/>
    </row>
    <row r="1558" spans="1:19" s="2" customFormat="1" x14ac:dyDescent="0.2">
      <c r="A1558" s="374"/>
      <c r="B1558" s="1"/>
      <c r="C1558" s="374"/>
      <c r="D1558" s="374"/>
      <c r="E1558" s="253"/>
      <c r="F1558" s="410"/>
      <c r="G1558" s="226"/>
      <c r="H1558" s="253"/>
      <c r="I1558" s="253"/>
      <c r="J1558" s="253"/>
      <c r="K1558" s="253"/>
      <c r="L1558" s="253"/>
      <c r="M1558" s="253"/>
      <c r="N1558" s="253"/>
      <c r="O1558" s="253"/>
      <c r="P1558" s="253"/>
      <c r="Q1558" s="253"/>
      <c r="R1558" s="253"/>
      <c r="S1558" s="253"/>
    </row>
    <row r="1559" spans="1:19" s="2" customFormat="1" x14ac:dyDescent="0.2">
      <c r="A1559" s="374"/>
      <c r="B1559" s="1"/>
      <c r="C1559" s="374"/>
      <c r="D1559" s="374"/>
      <c r="E1559" s="253"/>
      <c r="F1559" s="410"/>
      <c r="G1559" s="226"/>
      <c r="H1559" s="253"/>
      <c r="I1559" s="253"/>
      <c r="J1559" s="253"/>
      <c r="K1559" s="253"/>
      <c r="L1559" s="253"/>
      <c r="M1559" s="253"/>
      <c r="N1559" s="253"/>
      <c r="O1559" s="253"/>
      <c r="P1559" s="253"/>
      <c r="Q1559" s="253"/>
      <c r="R1559" s="253"/>
      <c r="S1559" s="253"/>
    </row>
    <row r="1560" spans="1:19" s="2" customFormat="1" x14ac:dyDescent="0.2">
      <c r="A1560" s="374"/>
      <c r="B1560" s="1"/>
      <c r="C1560" s="374"/>
      <c r="D1560" s="374"/>
      <c r="E1560" s="253"/>
      <c r="F1560" s="410"/>
      <c r="G1560" s="226"/>
      <c r="H1560" s="253"/>
      <c r="I1560" s="253"/>
      <c r="J1560" s="253"/>
      <c r="K1560" s="253"/>
      <c r="L1560" s="253"/>
      <c r="M1560" s="253"/>
      <c r="N1560" s="253"/>
      <c r="O1560" s="253"/>
      <c r="P1560" s="253"/>
      <c r="Q1560" s="253"/>
      <c r="R1560" s="253"/>
      <c r="S1560" s="253"/>
    </row>
    <row r="1561" spans="1:19" s="2" customFormat="1" x14ac:dyDescent="0.2">
      <c r="A1561" s="374"/>
      <c r="B1561" s="1"/>
      <c r="C1561" s="374"/>
      <c r="D1561" s="374"/>
      <c r="E1561" s="253"/>
      <c r="F1561" s="410"/>
      <c r="G1561" s="226"/>
      <c r="H1561" s="253"/>
      <c r="I1561" s="253"/>
      <c r="J1561" s="253"/>
      <c r="K1561" s="253"/>
      <c r="L1561" s="253"/>
      <c r="M1561" s="253"/>
      <c r="N1561" s="253"/>
      <c r="O1561" s="253"/>
      <c r="P1561" s="253"/>
      <c r="Q1561" s="253"/>
      <c r="R1561" s="253"/>
      <c r="S1561" s="253"/>
    </row>
    <row r="1562" spans="1:19" s="2" customFormat="1" x14ac:dyDescent="0.2">
      <c r="A1562" s="374"/>
      <c r="B1562" s="1"/>
      <c r="C1562" s="374"/>
      <c r="D1562" s="374"/>
      <c r="E1562" s="253"/>
      <c r="F1562" s="410"/>
      <c r="G1562" s="226"/>
      <c r="H1562" s="253"/>
      <c r="I1562" s="253"/>
      <c r="J1562" s="253"/>
      <c r="K1562" s="253"/>
      <c r="L1562" s="253"/>
      <c r="M1562" s="253"/>
      <c r="N1562" s="253"/>
      <c r="O1562" s="253"/>
      <c r="P1562" s="253"/>
      <c r="Q1562" s="253"/>
      <c r="R1562" s="253"/>
      <c r="S1562" s="253"/>
    </row>
    <row r="1563" spans="1:19" s="2" customFormat="1" x14ac:dyDescent="0.2">
      <c r="A1563" s="374"/>
      <c r="B1563" s="1"/>
      <c r="C1563" s="374"/>
      <c r="D1563" s="374"/>
      <c r="E1563" s="253"/>
      <c r="F1563" s="410"/>
      <c r="G1563" s="226"/>
      <c r="H1563" s="253"/>
      <c r="I1563" s="253"/>
      <c r="J1563" s="253"/>
      <c r="K1563" s="253"/>
      <c r="L1563" s="253"/>
      <c r="M1563" s="253"/>
      <c r="N1563" s="253"/>
      <c r="O1563" s="253"/>
      <c r="P1563" s="253"/>
      <c r="Q1563" s="253"/>
      <c r="R1563" s="253"/>
      <c r="S1563" s="253"/>
    </row>
    <row r="1564" spans="1:19" s="2" customFormat="1" x14ac:dyDescent="0.2">
      <c r="A1564" s="374"/>
      <c r="B1564" s="1"/>
      <c r="C1564" s="374"/>
      <c r="D1564" s="374"/>
      <c r="E1564" s="253"/>
      <c r="F1564" s="410"/>
      <c r="G1564" s="226"/>
      <c r="H1564" s="253"/>
      <c r="I1564" s="253"/>
      <c r="J1564" s="253"/>
      <c r="K1564" s="253"/>
      <c r="L1564" s="253"/>
      <c r="M1564" s="253"/>
      <c r="N1564" s="253"/>
      <c r="O1564" s="253"/>
      <c r="P1564" s="253"/>
      <c r="Q1564" s="253"/>
      <c r="R1564" s="253"/>
      <c r="S1564" s="253"/>
    </row>
    <row r="1565" spans="1:19" s="2" customFormat="1" x14ac:dyDescent="0.2">
      <c r="A1565" s="374"/>
      <c r="B1565" s="1"/>
      <c r="C1565" s="374"/>
      <c r="D1565" s="374"/>
      <c r="E1565" s="253"/>
      <c r="F1565" s="410"/>
      <c r="G1565" s="226"/>
      <c r="H1565" s="253"/>
      <c r="I1565" s="253"/>
      <c r="J1565" s="253"/>
      <c r="K1565" s="253"/>
      <c r="L1565" s="253"/>
      <c r="M1565" s="253"/>
      <c r="N1565" s="253"/>
      <c r="O1565" s="253"/>
      <c r="P1565" s="253"/>
      <c r="Q1565" s="253"/>
      <c r="R1565" s="253"/>
      <c r="S1565" s="253"/>
    </row>
    <row r="1566" spans="1:19" s="2" customFormat="1" x14ac:dyDescent="0.2">
      <c r="A1566" s="374"/>
      <c r="B1566" s="1"/>
      <c r="C1566" s="374"/>
      <c r="D1566" s="374"/>
      <c r="E1566" s="253"/>
      <c r="F1566" s="410"/>
      <c r="G1566" s="226"/>
      <c r="H1566" s="253"/>
      <c r="I1566" s="253"/>
      <c r="J1566" s="253"/>
      <c r="K1566" s="253"/>
      <c r="L1566" s="253"/>
      <c r="M1566" s="253"/>
      <c r="N1566" s="253"/>
      <c r="O1566" s="253"/>
      <c r="P1566" s="253"/>
      <c r="Q1566" s="253"/>
      <c r="R1566" s="253"/>
      <c r="S1566" s="253"/>
    </row>
    <row r="1567" spans="1:19" s="2" customFormat="1" x14ac:dyDescent="0.2">
      <c r="A1567" s="374"/>
      <c r="B1567" s="1"/>
      <c r="C1567" s="374"/>
      <c r="D1567" s="374"/>
      <c r="E1567" s="253"/>
      <c r="F1567" s="410"/>
      <c r="G1567" s="226"/>
      <c r="H1567" s="253"/>
      <c r="I1567" s="253"/>
      <c r="J1567" s="253"/>
      <c r="K1567" s="253"/>
      <c r="L1567" s="253"/>
      <c r="M1567" s="253"/>
      <c r="N1567" s="253"/>
      <c r="O1567" s="253"/>
      <c r="P1567" s="253"/>
      <c r="Q1567" s="253"/>
      <c r="R1567" s="253"/>
      <c r="S1567" s="253"/>
    </row>
    <row r="1568" spans="1:19" s="2" customFormat="1" x14ac:dyDescent="0.2">
      <c r="A1568" s="374"/>
      <c r="B1568" s="1"/>
      <c r="C1568" s="374"/>
      <c r="D1568" s="374"/>
      <c r="E1568" s="253"/>
      <c r="F1568" s="410"/>
      <c r="G1568" s="226"/>
      <c r="H1568" s="253"/>
      <c r="I1568" s="253"/>
      <c r="J1568" s="253"/>
      <c r="K1568" s="253"/>
      <c r="L1568" s="253"/>
      <c r="M1568" s="253"/>
      <c r="N1568" s="253"/>
      <c r="O1568" s="253"/>
      <c r="P1568" s="253"/>
      <c r="Q1568" s="253"/>
      <c r="R1568" s="253"/>
      <c r="S1568" s="253"/>
    </row>
    <row r="1569" spans="1:19" s="2" customFormat="1" x14ac:dyDescent="0.2">
      <c r="A1569" s="374"/>
      <c r="B1569" s="1"/>
      <c r="C1569" s="374"/>
      <c r="D1569" s="374"/>
      <c r="E1569" s="253"/>
      <c r="F1569" s="410"/>
      <c r="G1569" s="226"/>
      <c r="H1569" s="253"/>
      <c r="I1569" s="253"/>
      <c r="J1569" s="253"/>
      <c r="K1569" s="253"/>
      <c r="L1569" s="253"/>
      <c r="M1569" s="253"/>
      <c r="N1569" s="253"/>
      <c r="O1569" s="253"/>
      <c r="P1569" s="253"/>
      <c r="Q1569" s="253"/>
      <c r="R1569" s="253"/>
      <c r="S1569" s="253"/>
    </row>
    <row r="1570" spans="1:19" s="2" customFormat="1" x14ac:dyDescent="0.2">
      <c r="A1570" s="374"/>
      <c r="B1570" s="1"/>
      <c r="C1570" s="374"/>
      <c r="D1570" s="374"/>
      <c r="E1570" s="253"/>
      <c r="F1570" s="410"/>
      <c r="G1570" s="226"/>
      <c r="H1570" s="253"/>
      <c r="I1570" s="253"/>
      <c r="J1570" s="253"/>
      <c r="K1570" s="253"/>
      <c r="L1570" s="253"/>
      <c r="M1570" s="253"/>
      <c r="N1570" s="253"/>
      <c r="O1570" s="253"/>
      <c r="P1570" s="253"/>
      <c r="Q1570" s="253"/>
      <c r="R1570" s="253"/>
      <c r="S1570" s="253"/>
    </row>
    <row r="1571" spans="1:19" s="2" customFormat="1" x14ac:dyDescent="0.2">
      <c r="A1571" s="374"/>
      <c r="B1571" s="1"/>
      <c r="C1571" s="374"/>
      <c r="D1571" s="374"/>
      <c r="E1571" s="253"/>
      <c r="F1571" s="410"/>
      <c r="G1571" s="226"/>
      <c r="H1571" s="253"/>
      <c r="I1571" s="253"/>
      <c r="J1571" s="253"/>
      <c r="K1571" s="253"/>
      <c r="L1571" s="253"/>
      <c r="M1571" s="253"/>
      <c r="N1571" s="253"/>
      <c r="O1571" s="253"/>
      <c r="P1571" s="253"/>
      <c r="Q1571" s="253"/>
      <c r="R1571" s="253"/>
      <c r="S1571" s="253"/>
    </row>
    <row r="1572" spans="1:19" s="2" customFormat="1" x14ac:dyDescent="0.2">
      <c r="A1572" s="374"/>
      <c r="B1572" s="1"/>
      <c r="C1572" s="374"/>
      <c r="D1572" s="374"/>
      <c r="E1572" s="253"/>
      <c r="F1572" s="410"/>
      <c r="G1572" s="226"/>
      <c r="H1572" s="253"/>
      <c r="I1572" s="253"/>
      <c r="J1572" s="253"/>
      <c r="K1572" s="253"/>
      <c r="L1572" s="253"/>
      <c r="M1572" s="253"/>
      <c r="N1572" s="253"/>
      <c r="O1572" s="253"/>
      <c r="P1572" s="253"/>
      <c r="Q1572" s="253"/>
      <c r="R1572" s="253"/>
      <c r="S1572" s="253"/>
    </row>
    <row r="1573" spans="1:19" s="2" customFormat="1" x14ac:dyDescent="0.2">
      <c r="A1573" s="374"/>
      <c r="B1573" s="1"/>
      <c r="C1573" s="374"/>
      <c r="D1573" s="374"/>
      <c r="E1573" s="253"/>
      <c r="F1573" s="410"/>
      <c r="G1573" s="226"/>
      <c r="H1573" s="253"/>
      <c r="I1573" s="253"/>
      <c r="J1573" s="253"/>
      <c r="K1573" s="253"/>
      <c r="L1573" s="253"/>
      <c r="M1573" s="253"/>
      <c r="N1573" s="253"/>
      <c r="O1573" s="253"/>
      <c r="P1573" s="253"/>
      <c r="Q1573" s="253"/>
      <c r="R1573" s="253"/>
      <c r="S1573" s="253"/>
    </row>
    <row r="1574" spans="1:19" s="2" customFormat="1" x14ac:dyDescent="0.2">
      <c r="A1574" s="374"/>
      <c r="B1574" s="1"/>
      <c r="C1574" s="374"/>
      <c r="D1574" s="374"/>
      <c r="E1574" s="253"/>
      <c r="F1574" s="410"/>
      <c r="G1574" s="226"/>
      <c r="H1574" s="253"/>
      <c r="I1574" s="253"/>
      <c r="J1574" s="253"/>
      <c r="K1574" s="253"/>
      <c r="L1574" s="253"/>
      <c r="M1574" s="253"/>
      <c r="N1574" s="253"/>
      <c r="O1574" s="253"/>
      <c r="P1574" s="253"/>
      <c r="Q1574" s="253"/>
      <c r="R1574" s="253"/>
      <c r="S1574" s="253"/>
    </row>
    <row r="1575" spans="1:19" s="2" customFormat="1" x14ac:dyDescent="0.2">
      <c r="A1575" s="374"/>
      <c r="B1575" s="1"/>
      <c r="C1575" s="374"/>
      <c r="D1575" s="374"/>
      <c r="E1575" s="253"/>
      <c r="F1575" s="410"/>
      <c r="G1575" s="226"/>
      <c r="H1575" s="253"/>
      <c r="I1575" s="253"/>
      <c r="J1575" s="253"/>
      <c r="K1575" s="253"/>
      <c r="L1575" s="253"/>
      <c r="M1575" s="253"/>
      <c r="N1575" s="253"/>
      <c r="O1575" s="253"/>
      <c r="P1575" s="253"/>
      <c r="Q1575" s="253"/>
      <c r="R1575" s="253"/>
      <c r="S1575" s="253"/>
    </row>
    <row r="1576" spans="1:19" s="2" customFormat="1" x14ac:dyDescent="0.2">
      <c r="A1576" s="374"/>
      <c r="B1576" s="1"/>
      <c r="C1576" s="374"/>
      <c r="D1576" s="374"/>
      <c r="E1576" s="253"/>
      <c r="F1576" s="410"/>
      <c r="G1576" s="226"/>
      <c r="H1576" s="253"/>
      <c r="I1576" s="253"/>
      <c r="J1576" s="253"/>
      <c r="K1576" s="253"/>
      <c r="L1576" s="253"/>
      <c r="M1576" s="253"/>
      <c r="N1576" s="253"/>
      <c r="O1576" s="253"/>
      <c r="P1576" s="253"/>
      <c r="Q1576" s="253"/>
      <c r="R1576" s="253"/>
      <c r="S1576" s="253"/>
    </row>
    <row r="1577" spans="1:19" s="2" customFormat="1" x14ac:dyDescent="0.2">
      <c r="A1577" s="374"/>
      <c r="B1577" s="1"/>
      <c r="C1577" s="374"/>
      <c r="D1577" s="374"/>
      <c r="E1577" s="253"/>
      <c r="F1577" s="410"/>
      <c r="G1577" s="226"/>
      <c r="H1577" s="253"/>
      <c r="I1577" s="253"/>
      <c r="J1577" s="253"/>
      <c r="K1577" s="253"/>
      <c r="L1577" s="253"/>
      <c r="M1577" s="253"/>
      <c r="N1577" s="253"/>
      <c r="O1577" s="253"/>
      <c r="P1577" s="253"/>
      <c r="Q1577" s="253"/>
      <c r="R1577" s="253"/>
      <c r="S1577" s="253"/>
    </row>
    <row r="1578" spans="1:19" s="2" customFormat="1" x14ac:dyDescent="0.2">
      <c r="A1578" s="374"/>
      <c r="B1578" s="1"/>
      <c r="C1578" s="374"/>
      <c r="D1578" s="374"/>
      <c r="E1578" s="253"/>
      <c r="F1578" s="410"/>
      <c r="G1578" s="226"/>
      <c r="H1578" s="253"/>
      <c r="I1578" s="253"/>
      <c r="J1578" s="253"/>
      <c r="K1578" s="253"/>
      <c r="L1578" s="253"/>
      <c r="M1578" s="253"/>
      <c r="N1578" s="253"/>
      <c r="O1578" s="253"/>
      <c r="P1578" s="253"/>
      <c r="Q1578" s="253"/>
      <c r="R1578" s="253"/>
      <c r="S1578" s="253"/>
    </row>
    <row r="1579" spans="1:19" s="2" customFormat="1" x14ac:dyDescent="0.2">
      <c r="A1579" s="374"/>
      <c r="B1579" s="1"/>
      <c r="C1579" s="374"/>
      <c r="D1579" s="374"/>
      <c r="E1579" s="253"/>
      <c r="F1579" s="410"/>
      <c r="G1579" s="226"/>
      <c r="H1579" s="253"/>
      <c r="I1579" s="253"/>
      <c r="J1579" s="253"/>
      <c r="K1579" s="253"/>
      <c r="L1579" s="253"/>
      <c r="M1579" s="253"/>
      <c r="N1579" s="253"/>
      <c r="O1579" s="253"/>
      <c r="P1579" s="253"/>
      <c r="Q1579" s="253"/>
      <c r="R1579" s="253"/>
      <c r="S1579" s="253"/>
    </row>
    <row r="1580" spans="1:19" s="2" customFormat="1" x14ac:dyDescent="0.2">
      <c r="A1580" s="374"/>
      <c r="B1580" s="1"/>
      <c r="C1580" s="374"/>
      <c r="D1580" s="374"/>
      <c r="E1580" s="253"/>
      <c r="F1580" s="410"/>
      <c r="G1580" s="226"/>
      <c r="H1580" s="253"/>
      <c r="I1580" s="253"/>
      <c r="J1580" s="253"/>
      <c r="K1580" s="253"/>
      <c r="L1580" s="253"/>
      <c r="M1580" s="253"/>
      <c r="N1580" s="253"/>
      <c r="O1580" s="253"/>
      <c r="P1580" s="253"/>
      <c r="Q1580" s="253"/>
      <c r="R1580" s="253"/>
      <c r="S1580" s="253"/>
    </row>
    <row r="1581" spans="1:19" s="2" customFormat="1" x14ac:dyDescent="0.2">
      <c r="A1581" s="374"/>
      <c r="B1581" s="1"/>
      <c r="C1581" s="374"/>
      <c r="D1581" s="374"/>
      <c r="E1581" s="253"/>
      <c r="F1581" s="410"/>
      <c r="G1581" s="226"/>
      <c r="H1581" s="253"/>
      <c r="I1581" s="253"/>
      <c r="J1581" s="253"/>
      <c r="K1581" s="253"/>
      <c r="L1581" s="253"/>
      <c r="M1581" s="253"/>
      <c r="N1581" s="253"/>
      <c r="O1581" s="253"/>
      <c r="P1581" s="253"/>
      <c r="Q1581" s="253"/>
      <c r="R1581" s="253"/>
      <c r="S1581" s="253"/>
    </row>
    <row r="1582" spans="1:19" s="2" customFormat="1" x14ac:dyDescent="0.2">
      <c r="A1582" s="374"/>
      <c r="B1582" s="1"/>
      <c r="C1582" s="374"/>
      <c r="D1582" s="374"/>
      <c r="E1582" s="253"/>
      <c r="F1582" s="410"/>
      <c r="G1582" s="226"/>
      <c r="H1582" s="253"/>
      <c r="I1582" s="253"/>
      <c r="J1582" s="253"/>
      <c r="K1582" s="253"/>
      <c r="L1582" s="253"/>
      <c r="M1582" s="253"/>
      <c r="N1582" s="253"/>
      <c r="O1582" s="253"/>
      <c r="P1582" s="253"/>
      <c r="Q1582" s="253"/>
      <c r="R1582" s="253"/>
      <c r="S1582" s="253"/>
    </row>
    <row r="1583" spans="1:19" s="2" customFormat="1" x14ac:dyDescent="0.2">
      <c r="A1583" s="374"/>
      <c r="B1583" s="1"/>
      <c r="C1583" s="374"/>
      <c r="D1583" s="374"/>
      <c r="E1583" s="253"/>
      <c r="F1583" s="410"/>
      <c r="G1583" s="226"/>
      <c r="H1583" s="253"/>
      <c r="I1583" s="253"/>
      <c r="J1583" s="253"/>
      <c r="K1583" s="253"/>
      <c r="L1583" s="253"/>
      <c r="M1583" s="253"/>
      <c r="N1583" s="253"/>
      <c r="O1583" s="253"/>
      <c r="P1583" s="253"/>
      <c r="Q1583" s="253"/>
      <c r="R1583" s="253"/>
      <c r="S1583" s="253"/>
    </row>
    <row r="1584" spans="1:19" s="2" customFormat="1" x14ac:dyDescent="0.2">
      <c r="A1584" s="374"/>
      <c r="B1584" s="1"/>
      <c r="C1584" s="374"/>
      <c r="D1584" s="374"/>
      <c r="E1584" s="253"/>
      <c r="F1584" s="410"/>
      <c r="G1584" s="226"/>
      <c r="H1584" s="253"/>
      <c r="I1584" s="253"/>
      <c r="J1584" s="253"/>
      <c r="K1584" s="253"/>
      <c r="L1584" s="253"/>
      <c r="M1584" s="253"/>
      <c r="N1584" s="253"/>
      <c r="O1584" s="253"/>
      <c r="P1584" s="253"/>
      <c r="Q1584" s="253"/>
      <c r="R1584" s="253"/>
      <c r="S1584" s="253"/>
    </row>
    <row r="1585" spans="1:19" s="2" customFormat="1" x14ac:dyDescent="0.2">
      <c r="A1585" s="374"/>
      <c r="B1585" s="1"/>
      <c r="C1585" s="374"/>
      <c r="D1585" s="374"/>
      <c r="E1585" s="253"/>
      <c r="F1585" s="410"/>
      <c r="G1585" s="226"/>
      <c r="H1585" s="253"/>
      <c r="I1585" s="253"/>
      <c r="J1585" s="253"/>
      <c r="K1585" s="253"/>
      <c r="L1585" s="253"/>
      <c r="M1585" s="253"/>
      <c r="N1585" s="253"/>
      <c r="O1585" s="253"/>
      <c r="P1585" s="253"/>
      <c r="Q1585" s="253"/>
      <c r="R1585" s="253"/>
      <c r="S1585" s="253"/>
    </row>
    <row r="1586" spans="1:19" s="2" customFormat="1" x14ac:dyDescent="0.2">
      <c r="A1586" s="374"/>
      <c r="B1586" s="1"/>
      <c r="C1586" s="374"/>
      <c r="D1586" s="374"/>
      <c r="E1586" s="253"/>
      <c r="F1586" s="410"/>
      <c r="G1586" s="226"/>
      <c r="H1586" s="253"/>
      <c r="I1586" s="253"/>
      <c r="J1586" s="253"/>
      <c r="K1586" s="253"/>
      <c r="L1586" s="253"/>
      <c r="M1586" s="253"/>
      <c r="N1586" s="253"/>
      <c r="O1586" s="253"/>
      <c r="P1586" s="253"/>
      <c r="Q1586" s="253"/>
      <c r="R1586" s="253"/>
      <c r="S1586" s="253"/>
    </row>
    <row r="1587" spans="1:19" s="2" customFormat="1" x14ac:dyDescent="0.2">
      <c r="A1587" s="374"/>
      <c r="B1587" s="1"/>
      <c r="C1587" s="374"/>
      <c r="D1587" s="374"/>
      <c r="E1587" s="253"/>
      <c r="F1587" s="410"/>
      <c r="G1587" s="226"/>
      <c r="H1587" s="253"/>
      <c r="I1587" s="253"/>
      <c r="J1587" s="253"/>
      <c r="K1587" s="253"/>
      <c r="L1587" s="253"/>
      <c r="M1587" s="253"/>
      <c r="N1587" s="253"/>
      <c r="O1587" s="253"/>
      <c r="P1587" s="253"/>
      <c r="Q1587" s="253"/>
      <c r="R1587" s="253"/>
      <c r="S1587" s="253"/>
    </row>
    <row r="1588" spans="1:19" s="2" customFormat="1" x14ac:dyDescent="0.2">
      <c r="A1588" s="374"/>
      <c r="B1588" s="1"/>
      <c r="C1588" s="374"/>
      <c r="D1588" s="374"/>
      <c r="E1588" s="253"/>
      <c r="F1588" s="410"/>
      <c r="G1588" s="226"/>
      <c r="H1588" s="253"/>
      <c r="I1588" s="253"/>
      <c r="J1588" s="253"/>
      <c r="K1588" s="253"/>
      <c r="L1588" s="253"/>
      <c r="M1588" s="253"/>
      <c r="N1588" s="253"/>
      <c r="O1588" s="253"/>
      <c r="P1588" s="253"/>
      <c r="Q1588" s="253"/>
      <c r="R1588" s="253"/>
      <c r="S1588" s="253"/>
    </row>
    <row r="1589" spans="1:19" s="2" customFormat="1" x14ac:dyDescent="0.2">
      <c r="A1589" s="374"/>
      <c r="B1589" s="1"/>
      <c r="C1589" s="374"/>
      <c r="D1589" s="374"/>
      <c r="E1589" s="253"/>
      <c r="F1589" s="410"/>
      <c r="G1589" s="226"/>
      <c r="H1589" s="253"/>
      <c r="I1589" s="253"/>
      <c r="J1589" s="253"/>
      <c r="K1589" s="253"/>
      <c r="L1589" s="253"/>
      <c r="M1589" s="253"/>
      <c r="N1589" s="253"/>
      <c r="O1589" s="253"/>
      <c r="P1589" s="253"/>
      <c r="Q1589" s="253"/>
      <c r="R1589" s="253"/>
      <c r="S1589" s="253"/>
    </row>
    <row r="1590" spans="1:19" s="2" customFormat="1" x14ac:dyDescent="0.2">
      <c r="A1590" s="374"/>
      <c r="B1590" s="1"/>
      <c r="C1590" s="374"/>
      <c r="D1590" s="374"/>
      <c r="E1590" s="253"/>
      <c r="F1590" s="410"/>
      <c r="G1590" s="226"/>
      <c r="H1590" s="253"/>
      <c r="I1590" s="253"/>
      <c r="J1590" s="253"/>
      <c r="K1590" s="253"/>
      <c r="L1590" s="253"/>
      <c r="M1590" s="253"/>
      <c r="N1590" s="253"/>
      <c r="O1590" s="253"/>
      <c r="P1590" s="253"/>
      <c r="Q1590" s="253"/>
      <c r="R1590" s="253"/>
      <c r="S1590" s="253"/>
    </row>
    <row r="1591" spans="1:19" s="2" customFormat="1" x14ac:dyDescent="0.2">
      <c r="A1591" s="374"/>
      <c r="B1591" s="1"/>
      <c r="C1591" s="374"/>
      <c r="D1591" s="374"/>
      <c r="E1591" s="253"/>
      <c r="F1591" s="410"/>
      <c r="G1591" s="226"/>
      <c r="H1591" s="253"/>
      <c r="I1591" s="253"/>
      <c r="J1591" s="253"/>
      <c r="K1591" s="253"/>
      <c r="L1591" s="253"/>
      <c r="M1591" s="253"/>
      <c r="N1591" s="253"/>
      <c r="O1591" s="253"/>
      <c r="P1591" s="253"/>
      <c r="Q1591" s="253"/>
      <c r="R1591" s="253"/>
      <c r="S1591" s="253"/>
    </row>
    <row r="1592" spans="1:19" s="2" customFormat="1" x14ac:dyDescent="0.2">
      <c r="A1592" s="374"/>
      <c r="B1592" s="1"/>
      <c r="C1592" s="374"/>
      <c r="D1592" s="374"/>
      <c r="E1592" s="253"/>
      <c r="F1592" s="410"/>
      <c r="G1592" s="226"/>
      <c r="H1592" s="253"/>
      <c r="I1592" s="253"/>
      <c r="J1592" s="253"/>
      <c r="K1592" s="253"/>
      <c r="L1592" s="253"/>
      <c r="M1592" s="253"/>
      <c r="N1592" s="253"/>
      <c r="O1592" s="253"/>
      <c r="P1592" s="253"/>
      <c r="Q1592" s="253"/>
      <c r="R1592" s="253"/>
      <c r="S1592" s="253"/>
    </row>
    <row r="1593" spans="1:19" s="2" customFormat="1" x14ac:dyDescent="0.2">
      <c r="A1593" s="374"/>
      <c r="B1593" s="1"/>
      <c r="C1593" s="374"/>
      <c r="D1593" s="374"/>
      <c r="E1593" s="253"/>
      <c r="F1593" s="410"/>
      <c r="G1593" s="226"/>
      <c r="H1593" s="253"/>
      <c r="I1593" s="253"/>
      <c r="J1593" s="253"/>
      <c r="K1593" s="253"/>
      <c r="L1593" s="253"/>
      <c r="M1593" s="253"/>
      <c r="N1593" s="253"/>
      <c r="O1593" s="253"/>
      <c r="P1593" s="253"/>
      <c r="Q1593" s="253"/>
      <c r="R1593" s="253"/>
      <c r="S1593" s="253"/>
    </row>
    <row r="1594" spans="1:19" s="2" customFormat="1" x14ac:dyDescent="0.2">
      <c r="A1594" s="374"/>
      <c r="B1594" s="1"/>
      <c r="C1594" s="374"/>
      <c r="D1594" s="374"/>
      <c r="E1594" s="253"/>
      <c r="F1594" s="410"/>
      <c r="G1594" s="226"/>
      <c r="H1594" s="253"/>
      <c r="I1594" s="253"/>
      <c r="J1594" s="253"/>
      <c r="K1594" s="253"/>
      <c r="L1594" s="253"/>
      <c r="M1594" s="253"/>
      <c r="N1594" s="253"/>
      <c r="O1594" s="253"/>
      <c r="P1594" s="253"/>
      <c r="Q1594" s="253"/>
      <c r="R1594" s="253"/>
      <c r="S1594" s="253"/>
    </row>
    <row r="1595" spans="1:19" s="2" customFormat="1" x14ac:dyDescent="0.2">
      <c r="A1595" s="374"/>
      <c r="B1595" s="1"/>
      <c r="C1595" s="374"/>
      <c r="D1595" s="374"/>
      <c r="E1595" s="253"/>
      <c r="F1595" s="410"/>
      <c r="G1595" s="226"/>
      <c r="H1595" s="253"/>
      <c r="I1595" s="253"/>
      <c r="J1595" s="253"/>
      <c r="K1595" s="253"/>
      <c r="L1595" s="253"/>
      <c r="M1595" s="253"/>
      <c r="N1595" s="253"/>
      <c r="O1595" s="253"/>
      <c r="P1595" s="253"/>
      <c r="Q1595" s="253"/>
      <c r="R1595" s="253"/>
      <c r="S1595" s="253"/>
    </row>
    <row r="1596" spans="1:19" s="2" customFormat="1" x14ac:dyDescent="0.2">
      <c r="A1596" s="374"/>
      <c r="B1596" s="1"/>
      <c r="C1596" s="374"/>
      <c r="D1596" s="374"/>
      <c r="E1596" s="253"/>
      <c r="F1596" s="410"/>
      <c r="G1596" s="226"/>
      <c r="H1596" s="253"/>
      <c r="I1596" s="253"/>
      <c r="J1596" s="253"/>
      <c r="K1596" s="253"/>
      <c r="L1596" s="253"/>
      <c r="M1596" s="253"/>
      <c r="N1596" s="253"/>
      <c r="O1596" s="253"/>
      <c r="P1596" s="253"/>
      <c r="Q1596" s="253"/>
      <c r="R1596" s="253"/>
      <c r="S1596" s="253"/>
    </row>
    <row r="1597" spans="1:19" s="2" customFormat="1" x14ac:dyDescent="0.2">
      <c r="A1597" s="374"/>
      <c r="B1597" s="1"/>
      <c r="C1597" s="374"/>
      <c r="D1597" s="374"/>
      <c r="E1597" s="253"/>
      <c r="F1597" s="410"/>
      <c r="G1597" s="226"/>
      <c r="H1597" s="253"/>
      <c r="I1597" s="253"/>
      <c r="J1597" s="253"/>
      <c r="K1597" s="253"/>
      <c r="L1597" s="253"/>
      <c r="M1597" s="253"/>
      <c r="N1597" s="253"/>
      <c r="O1597" s="253"/>
      <c r="P1597" s="253"/>
      <c r="Q1597" s="253"/>
      <c r="R1597" s="253"/>
      <c r="S1597" s="253"/>
    </row>
    <row r="1598" spans="1:19" s="2" customFormat="1" x14ac:dyDescent="0.2">
      <c r="A1598" s="374"/>
      <c r="B1598" s="1"/>
      <c r="C1598" s="374"/>
      <c r="D1598" s="374"/>
      <c r="E1598" s="253"/>
      <c r="F1598" s="410"/>
      <c r="G1598" s="226"/>
      <c r="H1598" s="253"/>
      <c r="I1598" s="253"/>
      <c r="J1598" s="253"/>
      <c r="K1598" s="253"/>
      <c r="L1598" s="253"/>
      <c r="M1598" s="253"/>
      <c r="N1598" s="253"/>
      <c r="O1598" s="253"/>
      <c r="P1598" s="253"/>
      <c r="Q1598" s="253"/>
      <c r="R1598" s="253"/>
      <c r="S1598" s="253"/>
    </row>
    <row r="1599" spans="1:19" s="2" customFormat="1" x14ac:dyDescent="0.2">
      <c r="A1599" s="374"/>
      <c r="B1599" s="1"/>
      <c r="C1599" s="374"/>
      <c r="D1599" s="374"/>
      <c r="E1599" s="253"/>
      <c r="F1599" s="410"/>
      <c r="G1599" s="226"/>
      <c r="H1599" s="253"/>
      <c r="I1599" s="253"/>
      <c r="J1599" s="253"/>
      <c r="K1599" s="253"/>
      <c r="L1599" s="253"/>
      <c r="M1599" s="253"/>
      <c r="N1599" s="253"/>
      <c r="O1599" s="253"/>
      <c r="P1599" s="253"/>
      <c r="Q1599" s="253"/>
      <c r="R1599" s="253"/>
      <c r="S1599" s="253"/>
    </row>
    <row r="1600" spans="1:19" s="2" customFormat="1" x14ac:dyDescent="0.2">
      <c r="A1600" s="374"/>
      <c r="B1600" s="1"/>
      <c r="C1600" s="374"/>
      <c r="D1600" s="374"/>
      <c r="E1600" s="253"/>
      <c r="F1600" s="410"/>
      <c r="G1600" s="226"/>
      <c r="H1600" s="253"/>
      <c r="I1600" s="253"/>
      <c r="J1600" s="253"/>
      <c r="K1600" s="253"/>
      <c r="L1600" s="253"/>
      <c r="M1600" s="253"/>
      <c r="N1600" s="253"/>
      <c r="O1600" s="253"/>
      <c r="P1600" s="253"/>
      <c r="Q1600" s="253"/>
      <c r="R1600" s="253"/>
      <c r="S1600" s="253"/>
    </row>
    <row r="1601" spans="1:19" s="2" customFormat="1" x14ac:dyDescent="0.2">
      <c r="A1601" s="374"/>
      <c r="B1601" s="1"/>
      <c r="C1601" s="374"/>
      <c r="D1601" s="374"/>
      <c r="E1601" s="253"/>
      <c r="F1601" s="410"/>
      <c r="G1601" s="226"/>
      <c r="H1601" s="253"/>
      <c r="I1601" s="253"/>
      <c r="J1601" s="253"/>
      <c r="K1601" s="253"/>
      <c r="L1601" s="253"/>
      <c r="M1601" s="253"/>
      <c r="N1601" s="253"/>
      <c r="O1601" s="253"/>
      <c r="P1601" s="253"/>
      <c r="Q1601" s="253"/>
      <c r="R1601" s="253"/>
      <c r="S1601" s="253"/>
    </row>
    <row r="1602" spans="1:19" s="2" customFormat="1" x14ac:dyDescent="0.2">
      <c r="A1602" s="374"/>
      <c r="B1602" s="1"/>
      <c r="C1602" s="374"/>
      <c r="D1602" s="374"/>
      <c r="E1602" s="253"/>
      <c r="F1602" s="410"/>
      <c r="G1602" s="226"/>
      <c r="H1602" s="253"/>
      <c r="I1602" s="253"/>
      <c r="J1602" s="253"/>
      <c r="K1602" s="253"/>
      <c r="L1602" s="253"/>
      <c r="M1602" s="253"/>
      <c r="N1602" s="253"/>
      <c r="O1602" s="253"/>
      <c r="P1602" s="253"/>
      <c r="Q1602" s="253"/>
      <c r="R1602" s="253"/>
      <c r="S1602" s="253"/>
    </row>
    <row r="1603" spans="1:19" s="2" customFormat="1" x14ac:dyDescent="0.2">
      <c r="A1603" s="374"/>
      <c r="B1603" s="1"/>
      <c r="C1603" s="374"/>
      <c r="D1603" s="374"/>
      <c r="E1603" s="253"/>
      <c r="F1603" s="410"/>
      <c r="G1603" s="226"/>
      <c r="H1603" s="253"/>
      <c r="I1603" s="253"/>
      <c r="J1603" s="253"/>
      <c r="K1603" s="253"/>
      <c r="L1603" s="253"/>
      <c r="M1603" s="253"/>
      <c r="N1603" s="253"/>
      <c r="O1603" s="253"/>
      <c r="P1603" s="253"/>
      <c r="Q1603" s="253"/>
      <c r="R1603" s="253"/>
      <c r="S1603" s="253"/>
    </row>
    <row r="1604" spans="1:19" s="2" customFormat="1" x14ac:dyDescent="0.2">
      <c r="A1604" s="374"/>
      <c r="B1604" s="1"/>
      <c r="C1604" s="374"/>
      <c r="D1604" s="374"/>
      <c r="E1604" s="253"/>
      <c r="F1604" s="410"/>
      <c r="G1604" s="226"/>
      <c r="H1604" s="253"/>
      <c r="I1604" s="253"/>
      <c r="J1604" s="253"/>
      <c r="K1604" s="253"/>
      <c r="L1604" s="253"/>
      <c r="M1604" s="253"/>
      <c r="N1604" s="253"/>
      <c r="O1604" s="253"/>
      <c r="P1604" s="253"/>
      <c r="Q1604" s="253"/>
      <c r="R1604" s="253"/>
      <c r="S1604" s="253"/>
    </row>
    <row r="1605" spans="1:19" s="2" customFormat="1" x14ac:dyDescent="0.2">
      <c r="A1605" s="374"/>
      <c r="B1605" s="1"/>
      <c r="C1605" s="374"/>
      <c r="D1605" s="374"/>
      <c r="E1605" s="253"/>
      <c r="F1605" s="410"/>
      <c r="G1605" s="226"/>
      <c r="H1605" s="253"/>
      <c r="I1605" s="253"/>
      <c r="J1605" s="253"/>
      <c r="K1605" s="253"/>
      <c r="L1605" s="253"/>
      <c r="M1605" s="253"/>
      <c r="N1605" s="253"/>
      <c r="O1605" s="253"/>
      <c r="P1605" s="253"/>
      <c r="Q1605" s="253"/>
      <c r="R1605" s="253"/>
      <c r="S1605" s="253"/>
    </row>
    <row r="1606" spans="1:19" s="2" customFormat="1" x14ac:dyDescent="0.2">
      <c r="A1606" s="374"/>
      <c r="B1606" s="1"/>
      <c r="C1606" s="374"/>
      <c r="D1606" s="374"/>
      <c r="E1606" s="253"/>
      <c r="F1606" s="410"/>
      <c r="G1606" s="226"/>
      <c r="H1606" s="253"/>
      <c r="I1606" s="253"/>
      <c r="J1606" s="253"/>
      <c r="K1606" s="253"/>
      <c r="L1606" s="253"/>
      <c r="M1606" s="253"/>
      <c r="N1606" s="253"/>
      <c r="O1606" s="253"/>
      <c r="P1606" s="253"/>
      <c r="Q1606" s="253"/>
      <c r="R1606" s="253"/>
      <c r="S1606" s="253"/>
    </row>
    <row r="1607" spans="1:19" s="2" customFormat="1" x14ac:dyDescent="0.2">
      <c r="A1607" s="374"/>
      <c r="B1607" s="1"/>
      <c r="C1607" s="374"/>
      <c r="D1607" s="374"/>
      <c r="E1607" s="253"/>
      <c r="F1607" s="410"/>
      <c r="G1607" s="226"/>
      <c r="H1607" s="253"/>
      <c r="I1607" s="253"/>
      <c r="J1607" s="253"/>
      <c r="K1607" s="253"/>
      <c r="L1607" s="253"/>
      <c r="M1607" s="253"/>
      <c r="N1607" s="253"/>
      <c r="O1607" s="253"/>
      <c r="P1607" s="253"/>
      <c r="Q1607" s="253"/>
      <c r="R1607" s="253"/>
      <c r="S1607" s="253"/>
    </row>
    <row r="1608" spans="1:19" s="2" customFormat="1" x14ac:dyDescent="0.2">
      <c r="A1608" s="374"/>
      <c r="B1608" s="1"/>
      <c r="C1608" s="374"/>
      <c r="D1608" s="374"/>
      <c r="E1608" s="253"/>
      <c r="F1608" s="410"/>
      <c r="G1608" s="226"/>
      <c r="H1608" s="253"/>
      <c r="I1608" s="253"/>
      <c r="J1608" s="253"/>
      <c r="K1608" s="253"/>
      <c r="L1608" s="253"/>
      <c r="M1608" s="253"/>
      <c r="N1608" s="253"/>
      <c r="O1608" s="253"/>
      <c r="P1608" s="253"/>
      <c r="Q1608" s="253"/>
      <c r="R1608" s="253"/>
      <c r="S1608" s="253"/>
    </row>
    <row r="1609" spans="1:19" s="2" customFormat="1" x14ac:dyDescent="0.2">
      <c r="A1609" s="374"/>
      <c r="B1609" s="1"/>
      <c r="C1609" s="374"/>
      <c r="D1609" s="374"/>
      <c r="E1609" s="253"/>
      <c r="F1609" s="410"/>
      <c r="G1609" s="226"/>
      <c r="H1609" s="253"/>
      <c r="I1609" s="253"/>
      <c r="J1609" s="253"/>
      <c r="K1609" s="253"/>
      <c r="L1609" s="253"/>
      <c r="M1609" s="253"/>
      <c r="N1609" s="253"/>
      <c r="O1609" s="253"/>
      <c r="P1609" s="253"/>
      <c r="Q1609" s="253"/>
      <c r="R1609" s="253"/>
      <c r="S1609" s="253"/>
    </row>
  </sheetData>
  <mergeCells count="266">
    <mergeCell ref="A1448:D1448"/>
    <mergeCell ref="A77:G77"/>
    <mergeCell ref="A78:G78"/>
    <mergeCell ref="A79:E79"/>
    <mergeCell ref="A80:E80"/>
    <mergeCell ref="A81:E81"/>
    <mergeCell ref="A83:E83"/>
    <mergeCell ref="A92:G92"/>
    <mergeCell ref="A93:E93"/>
    <mergeCell ref="A94:E94"/>
    <mergeCell ref="A122:A127"/>
    <mergeCell ref="B122:B127"/>
    <mergeCell ref="A128:A133"/>
    <mergeCell ref="B128:B133"/>
    <mergeCell ref="A134:A138"/>
    <mergeCell ref="B134:B138"/>
    <mergeCell ref="A104:A109"/>
    <mergeCell ref="B104:B109"/>
    <mergeCell ref="A110:A115"/>
    <mergeCell ref="B110:B115"/>
    <mergeCell ref="A116:A121"/>
    <mergeCell ref="B116:B121"/>
    <mergeCell ref="A155:A159"/>
    <mergeCell ref="B155:B159"/>
    <mergeCell ref="I97:J97"/>
    <mergeCell ref="A98:A103"/>
    <mergeCell ref="B98:B103"/>
    <mergeCell ref="A85:E85"/>
    <mergeCell ref="E86:G86"/>
    <mergeCell ref="E87:G87"/>
    <mergeCell ref="A89:E89"/>
    <mergeCell ref="A90:E90"/>
    <mergeCell ref="A91:G91"/>
    <mergeCell ref="A160:A164"/>
    <mergeCell ref="B160:B164"/>
    <mergeCell ref="A165:A168"/>
    <mergeCell ref="B165:B168"/>
    <mergeCell ref="A139:A144"/>
    <mergeCell ref="B139:B144"/>
    <mergeCell ref="A145:A149"/>
    <mergeCell ref="B145:B149"/>
    <mergeCell ref="A150:A154"/>
    <mergeCell ref="B150:B154"/>
    <mergeCell ref="A184:A188"/>
    <mergeCell ref="B184:B188"/>
    <mergeCell ref="A189:A193"/>
    <mergeCell ref="B189:B193"/>
    <mergeCell ref="A194:A199"/>
    <mergeCell ref="B194:B199"/>
    <mergeCell ref="A169:A173"/>
    <mergeCell ref="B169:B173"/>
    <mergeCell ref="A174:A178"/>
    <mergeCell ref="B174:B178"/>
    <mergeCell ref="A179:A183"/>
    <mergeCell ref="B179:B183"/>
    <mergeCell ref="C223:D223"/>
    <mergeCell ref="C224:D224"/>
    <mergeCell ref="C225:D225"/>
    <mergeCell ref="C226:D226"/>
    <mergeCell ref="C227:D227"/>
    <mergeCell ref="A230:D230"/>
    <mergeCell ref="A200:A204"/>
    <mergeCell ref="B200:B204"/>
    <mergeCell ref="A205:A209"/>
    <mergeCell ref="B205:B209"/>
    <mergeCell ref="A221:G221"/>
    <mergeCell ref="C222:D222"/>
    <mergeCell ref="F238:G238"/>
    <mergeCell ref="F239:G239"/>
    <mergeCell ref="F240:G240"/>
    <mergeCell ref="A242:D242"/>
    <mergeCell ref="A245:D245"/>
    <mergeCell ref="A246:D246"/>
    <mergeCell ref="F231:G231"/>
    <mergeCell ref="F232:G232"/>
    <mergeCell ref="F233:G233"/>
    <mergeCell ref="F234:G234"/>
    <mergeCell ref="F235:G235"/>
    <mergeCell ref="A237:D237"/>
    <mergeCell ref="AK336:AO336"/>
    <mergeCell ref="B367:D367"/>
    <mergeCell ref="B371:D371"/>
    <mergeCell ref="B249:D249"/>
    <mergeCell ref="B258:D258"/>
    <mergeCell ref="B266:D266"/>
    <mergeCell ref="B276:D276"/>
    <mergeCell ref="B287:D287"/>
    <mergeCell ref="B290:D290"/>
    <mergeCell ref="B400:D400"/>
    <mergeCell ref="B432:D432"/>
    <mergeCell ref="B434:D434"/>
    <mergeCell ref="B441:D441"/>
    <mergeCell ref="B458:D458"/>
    <mergeCell ref="B461:D461"/>
    <mergeCell ref="B305:D305"/>
    <mergeCell ref="B310:D310"/>
    <mergeCell ref="B326:D326"/>
    <mergeCell ref="B513:F513"/>
    <mergeCell ref="B515:F515"/>
    <mergeCell ref="B531:F531"/>
    <mergeCell ref="B533:F533"/>
    <mergeCell ref="B546:F546"/>
    <mergeCell ref="B548:F548"/>
    <mergeCell ref="B467:D467"/>
    <mergeCell ref="B468:F468"/>
    <mergeCell ref="B494:F494"/>
    <mergeCell ref="B499:F499"/>
    <mergeCell ref="B504:F504"/>
    <mergeCell ref="B506:F506"/>
    <mergeCell ref="B637:D637"/>
    <mergeCell ref="B670:D670"/>
    <mergeCell ref="B683:F683"/>
    <mergeCell ref="B693:F693"/>
    <mergeCell ref="B697:F697"/>
    <mergeCell ref="B701:F701"/>
    <mergeCell ref="B551:F551"/>
    <mergeCell ref="B561:F561"/>
    <mergeCell ref="B576:F576"/>
    <mergeCell ref="B590:F590"/>
    <mergeCell ref="B619:F619"/>
    <mergeCell ref="B632:F632"/>
    <mergeCell ref="B725:F725"/>
    <mergeCell ref="B727:D727"/>
    <mergeCell ref="B730:F730"/>
    <mergeCell ref="B732:F732"/>
    <mergeCell ref="B735:D735"/>
    <mergeCell ref="B738:F738"/>
    <mergeCell ref="B711:D711"/>
    <mergeCell ref="A713:D713"/>
    <mergeCell ref="B714:D714"/>
    <mergeCell ref="B716:D716"/>
    <mergeCell ref="B719:D719"/>
    <mergeCell ref="B722:D722"/>
    <mergeCell ref="B783:F783"/>
    <mergeCell ref="B787:F787"/>
    <mergeCell ref="B790:D790"/>
    <mergeCell ref="B798:D798"/>
    <mergeCell ref="B803:D803"/>
    <mergeCell ref="B807:D807"/>
    <mergeCell ref="B740:F740"/>
    <mergeCell ref="B742:D742"/>
    <mergeCell ref="B744:D744"/>
    <mergeCell ref="B746:D746"/>
    <mergeCell ref="A774:D774"/>
    <mergeCell ref="B778:F778"/>
    <mergeCell ref="B860:D860"/>
    <mergeCell ref="B866:D866"/>
    <mergeCell ref="A917:D917"/>
    <mergeCell ref="A920:D920"/>
    <mergeCell ref="B953:F953"/>
    <mergeCell ref="A974:D974"/>
    <mergeCell ref="B811:D811"/>
    <mergeCell ref="B822:D822"/>
    <mergeCell ref="B841:D841"/>
    <mergeCell ref="B845:D845"/>
    <mergeCell ref="B851:D851"/>
    <mergeCell ref="B854:D854"/>
    <mergeCell ref="B906:D906"/>
    <mergeCell ref="IT975:IT979"/>
    <mergeCell ref="B982:D982"/>
    <mergeCell ref="B990:D990"/>
    <mergeCell ref="B1041:F1041"/>
    <mergeCell ref="B1042:F1042"/>
    <mergeCell ref="B1046:F1046"/>
    <mergeCell ref="B1050:F1050"/>
    <mergeCell ref="B1054:F1054"/>
    <mergeCell ref="B1058:F1058"/>
    <mergeCell ref="A1016:D1016"/>
    <mergeCell ref="A1020:F1020"/>
    <mergeCell ref="A1028:F1028"/>
    <mergeCell ref="B1029:F1029"/>
    <mergeCell ref="B1030:F1030"/>
    <mergeCell ref="B1036:F1036"/>
    <mergeCell ref="B1068:F1068"/>
    <mergeCell ref="B1071:F1071"/>
    <mergeCell ref="B1074:F1074"/>
    <mergeCell ref="B1078:F1078"/>
    <mergeCell ref="B1082:F1082"/>
    <mergeCell ref="A1083:A1093"/>
    <mergeCell ref="B1083:F1083"/>
    <mergeCell ref="B1084:F1084"/>
    <mergeCell ref="B1085:F1085"/>
    <mergeCell ref="B1086:F1086"/>
    <mergeCell ref="B1093:F1093"/>
    <mergeCell ref="B1097:F1097"/>
    <mergeCell ref="B1100:F1100"/>
    <mergeCell ref="B1111:F1111"/>
    <mergeCell ref="A1114:A1115"/>
    <mergeCell ref="B1124:F1124"/>
    <mergeCell ref="B1087:F1087"/>
    <mergeCell ref="B1088:F1088"/>
    <mergeCell ref="B1089:F1089"/>
    <mergeCell ref="B1090:F1090"/>
    <mergeCell ref="B1091:F1091"/>
    <mergeCell ref="B1092:F1092"/>
    <mergeCell ref="B1179:F1179"/>
    <mergeCell ref="A1183:F1183"/>
    <mergeCell ref="B1184:F1184"/>
    <mergeCell ref="B1193:F1193"/>
    <mergeCell ref="B1197:F1197"/>
    <mergeCell ref="B1204:F1204"/>
    <mergeCell ref="B1127:F1127"/>
    <mergeCell ref="B1140:F1140"/>
    <mergeCell ref="B1153:F1153"/>
    <mergeCell ref="B1156:F1156"/>
    <mergeCell ref="B1166:F1166"/>
    <mergeCell ref="B1167:F1167"/>
    <mergeCell ref="A1240:D1240"/>
    <mergeCell ref="B1241:D1241"/>
    <mergeCell ref="B1242:D1242"/>
    <mergeCell ref="B1245:D1245"/>
    <mergeCell ref="B1253:D1253"/>
    <mergeCell ref="B1257:D1257"/>
    <mergeCell ref="B1209:F1209"/>
    <mergeCell ref="B1215:F1215"/>
    <mergeCell ref="A1223:D1223"/>
    <mergeCell ref="B1225:D1225"/>
    <mergeCell ref="B1229:D1229"/>
    <mergeCell ref="B1234:D1234"/>
    <mergeCell ref="A1293:F1293"/>
    <mergeCell ref="D1294:F1294"/>
    <mergeCell ref="D1295:F1295"/>
    <mergeCell ref="B1296:F1296"/>
    <mergeCell ref="D1297:F1297"/>
    <mergeCell ref="D1298:F1298"/>
    <mergeCell ref="B1264:D1264"/>
    <mergeCell ref="B1266:D1266"/>
    <mergeCell ref="A1273:D1273"/>
    <mergeCell ref="B1275:D1275"/>
    <mergeCell ref="B1279:F1279"/>
    <mergeCell ref="A1290:F1290"/>
    <mergeCell ref="D1305:F1305"/>
    <mergeCell ref="D1306:F1306"/>
    <mergeCell ref="D1307:F1307"/>
    <mergeCell ref="A1352:F1352"/>
    <mergeCell ref="A1356:A1358"/>
    <mergeCell ref="B1356:B1358"/>
    <mergeCell ref="C1356:C1358"/>
    <mergeCell ref="A1384:D1384"/>
    <mergeCell ref="D1299:F1299"/>
    <mergeCell ref="D1300:F1300"/>
    <mergeCell ref="D1301:F1301"/>
    <mergeCell ref="D1302:F1302"/>
    <mergeCell ref="D1303:F1303"/>
    <mergeCell ref="D1304:F1304"/>
    <mergeCell ref="B1412:D1412"/>
    <mergeCell ref="B1419:D1419"/>
    <mergeCell ref="B1421:D1421"/>
    <mergeCell ref="A1428:D1428"/>
    <mergeCell ref="B1430:D1430"/>
    <mergeCell ref="A1440:D1440"/>
    <mergeCell ref="A1360:A1361"/>
    <mergeCell ref="B1360:B1361"/>
    <mergeCell ref="C1360:C1361"/>
    <mergeCell ref="B1363:F1363"/>
    <mergeCell ref="A1367:F1367"/>
    <mergeCell ref="A1374:F1374"/>
    <mergeCell ref="A1387:D1387"/>
    <mergeCell ref="B1389:D1389"/>
    <mergeCell ref="B1393:D1393"/>
    <mergeCell ref="B1396:D1396"/>
    <mergeCell ref="A1401:D1401"/>
    <mergeCell ref="B1402:D1402"/>
    <mergeCell ref="B1403:D1403"/>
    <mergeCell ref="B1405:D1405"/>
    <mergeCell ref="B1410:D1410"/>
  </mergeCells>
  <pageMargins left="0.98425196850393704" right="0.39370078740157483" top="0.39370078740157483" bottom="0.39370078740157483" header="0" footer="0"/>
  <pageSetup paperSize="9" scale="75" firstPageNumber="0" orientation="portrait" r:id="rId1"/>
  <headerFooter alignWithMargins="0">
    <oddFooter xml:space="preserve">&amp;CСтраница  &amp;P&amp;R
</oddFooter>
  </headerFooter>
  <rowBreaks count="4" manualBreakCount="4">
    <brk id="982" max="5" man="1"/>
    <brk id="1227" max="5" man="1"/>
    <brk id="1415" max="5" man="1"/>
    <brk id="1437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 прайс на 2023г. ПД </vt:lpstr>
      <vt:lpstr> прайс на 2023г. ГЗ </vt:lpstr>
      <vt:lpstr>' прайс на 2023г. ГЗ '!Область_печати</vt:lpstr>
      <vt:lpstr>' прайс на 2023г. ПД 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ЕЛЕНА</dc:creator>
  <cp:lastModifiedBy>user</cp:lastModifiedBy>
  <cp:lastPrinted>2023-01-26T06:41:15Z</cp:lastPrinted>
  <dcterms:created xsi:type="dcterms:W3CDTF">2020-02-17T12:03:43Z</dcterms:created>
  <dcterms:modified xsi:type="dcterms:W3CDTF">2023-01-27T04:44:42Z</dcterms:modified>
</cp:coreProperties>
</file>